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28.07.2025 изм. ст-сти объектов" sheetId="2" r:id="rId1"/>
  </sheets>
  <externalReferences>
    <externalReference r:id="rId2"/>
  </externalReferences>
  <definedNames>
    <definedName name="Z_D9A49370_59EF_4DF5_B20D_A46D1CBDF607_.wvu.PrintTitles" localSheetId="0">'28.07.2025 изм. ст-сти объектов'!$5:$8</definedName>
    <definedName name="Z_D9A49370_59EF_4DF5_B20D_A46D1CBDF607_.wvu.Rows" localSheetId="0">'[1]04.12'!#REF!</definedName>
    <definedName name="_xlnm.Print_Titles" localSheetId="0">'28.07.2025 изм. ст-сти объектов'!$5:$9</definedName>
    <definedName name="_xlnm.Print_Area" localSheetId="0">'28.07.2025 изм. ст-сти объектов'!$A$1:$AC$184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2" i="2"/>
  <c r="V126"/>
  <c r="V86"/>
  <c r="N22"/>
  <c r="AD22" s="1"/>
  <c r="E22"/>
  <c r="G139"/>
  <c r="G144"/>
  <c r="E144"/>
  <c r="Q137"/>
  <c r="G137"/>
  <c r="E139"/>
  <c r="N139"/>
  <c r="N137"/>
  <c r="E137"/>
  <c r="Q101"/>
  <c r="P101"/>
  <c r="AD150"/>
  <c r="G150"/>
  <c r="F150"/>
  <c r="AD154"/>
  <c r="AD173"/>
  <c r="AD166"/>
  <c r="G152"/>
  <c r="F152"/>
  <c r="F154"/>
  <c r="G154"/>
  <c r="G156"/>
  <c r="F156"/>
  <c r="G157"/>
  <c r="F157"/>
  <c r="P157"/>
  <c r="O157"/>
  <c r="S157"/>
  <c r="R157"/>
  <c r="Y20"/>
  <c r="Y22" s="1"/>
  <c r="AC22" l="1"/>
  <c r="AB22"/>
  <c r="AA22"/>
  <c r="AA20"/>
  <c r="G143" l="1"/>
  <c r="E143"/>
  <c r="G138"/>
  <c r="E138"/>
  <c r="G128"/>
  <c r="E128"/>
  <c r="G88"/>
  <c r="E88"/>
  <c r="G76"/>
  <c r="E76"/>
  <c r="G45"/>
  <c r="E45"/>
  <c r="G38"/>
  <c r="E38"/>
  <c r="G127"/>
  <c r="E127"/>
  <c r="E114"/>
  <c r="Q95"/>
  <c r="E95"/>
  <c r="Q44"/>
  <c r="G44"/>
  <c r="E23" l="1"/>
  <c r="G12"/>
  <c r="E12"/>
  <c r="AA126" l="1"/>
  <c r="Y126"/>
  <c r="Y127" s="1"/>
  <c r="Y129" s="1"/>
  <c r="AD126" l="1"/>
  <c r="AB126"/>
  <c r="AB127" s="1"/>
  <c r="AB129" s="1"/>
  <c r="AA127"/>
  <c r="AA129" s="1"/>
  <c r="AC126" l="1"/>
  <c r="AC127" s="1"/>
  <c r="AC129" s="1"/>
  <c r="W126" l="1"/>
  <c r="X126" s="1"/>
  <c r="Q127"/>
  <c r="P124"/>
  <c r="R124" s="1"/>
  <c r="N124"/>
  <c r="N127" s="1"/>
  <c r="P30"/>
  <c r="G118"/>
  <c r="G114"/>
  <c r="W80"/>
  <c r="G68"/>
  <c r="G57"/>
  <c r="G53"/>
  <c r="Q22"/>
  <c r="W36"/>
  <c r="Q139"/>
  <c r="P137"/>
  <c r="P139" s="1"/>
  <c r="G95" l="1"/>
  <c r="R137"/>
  <c r="W107"/>
  <c r="E53"/>
  <c r="E104"/>
  <c r="V98"/>
  <c r="W98" s="1"/>
  <c r="O173"/>
  <c r="G173"/>
  <c r="G167"/>
  <c r="G166"/>
  <c r="T119"/>
  <c r="T98"/>
  <c r="T99" s="1"/>
  <c r="G36"/>
  <c r="E36"/>
  <c r="X36"/>
  <c r="G120" l="1"/>
  <c r="V119"/>
  <c r="W119" s="1"/>
  <c r="V99"/>
  <c r="X98"/>
  <c r="X99" s="1"/>
  <c r="Q37"/>
  <c r="Q39" s="1"/>
  <c r="R36"/>
  <c r="P42"/>
  <c r="P35"/>
  <c r="N35"/>
  <c r="M156"/>
  <c r="M158" s="1"/>
  <c r="P184"/>
  <c r="R184" s="1"/>
  <c r="S182"/>
  <c r="R182"/>
  <c r="P180"/>
  <c r="R180" s="1"/>
  <c r="G180"/>
  <c r="G178"/>
  <c r="P178" s="1"/>
  <c r="R178" s="1"/>
  <c r="P176"/>
  <c r="R176" s="1"/>
  <c r="R173"/>
  <c r="L173"/>
  <c r="L154" s="1"/>
  <c r="P171"/>
  <c r="R171" s="1"/>
  <c r="O171"/>
  <c r="O169"/>
  <c r="G169"/>
  <c r="P169" s="1"/>
  <c r="R169" s="1"/>
  <c r="I157"/>
  <c r="O167"/>
  <c r="P167"/>
  <c r="R167" s="1"/>
  <c r="R166"/>
  <c r="O166"/>
  <c r="O154" s="1"/>
  <c r="L166"/>
  <c r="V164"/>
  <c r="X164" s="1"/>
  <c r="U164"/>
  <c r="V163"/>
  <c r="X163" s="1"/>
  <c r="U163"/>
  <c r="S160"/>
  <c r="R160" s="1"/>
  <c r="O160"/>
  <c r="O156" s="1"/>
  <c r="M157"/>
  <c r="L157"/>
  <c r="P156"/>
  <c r="L156"/>
  <c r="J154"/>
  <c r="G153"/>
  <c r="F153"/>
  <c r="J152"/>
  <c r="J155" s="1"/>
  <c r="K148"/>
  <c r="L147"/>
  <c r="J147"/>
  <c r="H147"/>
  <c r="G147"/>
  <c r="E147"/>
  <c r="Q144"/>
  <c r="P144"/>
  <c r="N144"/>
  <c r="K144"/>
  <c r="R143"/>
  <c r="R144" s="1"/>
  <c r="L143"/>
  <c r="T142"/>
  <c r="T144" s="1"/>
  <c r="J141"/>
  <c r="J144" s="1"/>
  <c r="H141"/>
  <c r="H144" s="1"/>
  <c r="R138"/>
  <c r="R139" s="1"/>
  <c r="L138"/>
  <c r="V139"/>
  <c r="T139"/>
  <c r="J136"/>
  <c r="J139" s="1"/>
  <c r="H136"/>
  <c r="H139" s="1"/>
  <c r="G134"/>
  <c r="E134"/>
  <c r="V133"/>
  <c r="T133"/>
  <c r="T134" s="1"/>
  <c r="P132"/>
  <c r="N132"/>
  <c r="P131"/>
  <c r="R131" s="1"/>
  <c r="N131"/>
  <c r="R128"/>
  <c r="L128"/>
  <c r="N129"/>
  <c r="K127"/>
  <c r="K129" s="1"/>
  <c r="G129"/>
  <c r="V125"/>
  <c r="V127" s="1"/>
  <c r="T125"/>
  <c r="P123"/>
  <c r="J122"/>
  <c r="J127" s="1"/>
  <c r="E122"/>
  <c r="H122" s="1"/>
  <c r="H127" s="1"/>
  <c r="H129" s="1"/>
  <c r="T118"/>
  <c r="T120" s="1"/>
  <c r="P117"/>
  <c r="R117" s="1"/>
  <c r="E117"/>
  <c r="N117" s="1"/>
  <c r="Q120"/>
  <c r="P116"/>
  <c r="E116"/>
  <c r="I114"/>
  <c r="T113"/>
  <c r="T114" s="1"/>
  <c r="V113"/>
  <c r="W113" s="1"/>
  <c r="Q114"/>
  <c r="P112"/>
  <c r="P114" s="1"/>
  <c r="N112"/>
  <c r="N114" s="1"/>
  <c r="J111"/>
  <c r="J114" s="1"/>
  <c r="H111"/>
  <c r="H114" s="1"/>
  <c r="V109"/>
  <c r="T109"/>
  <c r="P109"/>
  <c r="N109"/>
  <c r="X107"/>
  <c r="X109" s="1"/>
  <c r="W109"/>
  <c r="Q109"/>
  <c r="G107"/>
  <c r="E107"/>
  <c r="E109" s="1"/>
  <c r="P105"/>
  <c r="J105"/>
  <c r="E105"/>
  <c r="V104"/>
  <c r="W104" s="1"/>
  <c r="T104"/>
  <c r="T103"/>
  <c r="R103"/>
  <c r="R102"/>
  <c r="Q105"/>
  <c r="N102"/>
  <c r="L101"/>
  <c r="L105" s="1"/>
  <c r="G101"/>
  <c r="N99"/>
  <c r="G99"/>
  <c r="E99"/>
  <c r="Q99"/>
  <c r="P97"/>
  <c r="P99" s="1"/>
  <c r="N95"/>
  <c r="V94"/>
  <c r="W94" s="1"/>
  <c r="T94"/>
  <c r="T93"/>
  <c r="V93"/>
  <c r="W93" s="1"/>
  <c r="P92"/>
  <c r="P95" s="1"/>
  <c r="J91"/>
  <c r="L91" s="1"/>
  <c r="L95" s="1"/>
  <c r="H91"/>
  <c r="H95" s="1"/>
  <c r="J89"/>
  <c r="H89"/>
  <c r="R88"/>
  <c r="L88"/>
  <c r="L89" s="1"/>
  <c r="N87"/>
  <c r="N89" s="1"/>
  <c r="G87"/>
  <c r="E87"/>
  <c r="T86"/>
  <c r="T87" s="1"/>
  <c r="T89" s="1"/>
  <c r="W86"/>
  <c r="W85"/>
  <c r="X85" s="1"/>
  <c r="P84"/>
  <c r="P87" s="1"/>
  <c r="P89" s="1"/>
  <c r="P82"/>
  <c r="N82"/>
  <c r="W81"/>
  <c r="V81"/>
  <c r="T81"/>
  <c r="T82" s="1"/>
  <c r="R80"/>
  <c r="R82" s="1"/>
  <c r="E80"/>
  <c r="E82" s="1"/>
  <c r="J79"/>
  <c r="L79" s="1"/>
  <c r="L82" s="1"/>
  <c r="H79"/>
  <c r="H82" s="1"/>
  <c r="J77"/>
  <c r="H77"/>
  <c r="R76"/>
  <c r="L76"/>
  <c r="L77" s="1"/>
  <c r="G77"/>
  <c r="E77"/>
  <c r="V75"/>
  <c r="T75"/>
  <c r="T77" s="1"/>
  <c r="P74"/>
  <c r="Q77" s="1"/>
  <c r="N74"/>
  <c r="N77" s="1"/>
  <c r="L72"/>
  <c r="K72"/>
  <c r="J72"/>
  <c r="H72"/>
  <c r="G72"/>
  <c r="E72"/>
  <c r="T67"/>
  <c r="T68" s="1"/>
  <c r="V67"/>
  <c r="W67" s="1"/>
  <c r="P66"/>
  <c r="N66"/>
  <c r="P65"/>
  <c r="E65"/>
  <c r="J61"/>
  <c r="J68" s="1"/>
  <c r="H61"/>
  <c r="H68" s="1"/>
  <c r="Q58"/>
  <c r="N58"/>
  <c r="E58"/>
  <c r="T57"/>
  <c r="T58" s="1"/>
  <c r="G58"/>
  <c r="P56"/>
  <c r="P58" s="1"/>
  <c r="V53"/>
  <c r="W53" s="1"/>
  <c r="T53"/>
  <c r="T52"/>
  <c r="V52"/>
  <c r="W52" s="1"/>
  <c r="P51"/>
  <c r="R51" s="1"/>
  <c r="N51"/>
  <c r="P50"/>
  <c r="Q54" s="1"/>
  <c r="E50"/>
  <c r="E54" s="1"/>
  <c r="R45"/>
  <c r="L45"/>
  <c r="K44"/>
  <c r="K46" s="1"/>
  <c r="T43"/>
  <c r="V43"/>
  <c r="Q46"/>
  <c r="E42"/>
  <c r="E44" s="1"/>
  <c r="J41"/>
  <c r="L41" s="1"/>
  <c r="L44" s="1"/>
  <c r="E41"/>
  <c r="K39"/>
  <c r="R38"/>
  <c r="J38"/>
  <c r="H37"/>
  <c r="H39" s="1"/>
  <c r="R34"/>
  <c r="L34"/>
  <c r="G34"/>
  <c r="AD34" s="1"/>
  <c r="E34"/>
  <c r="N34" s="1"/>
  <c r="V33"/>
  <c r="W33" s="1"/>
  <c r="T33"/>
  <c r="T32"/>
  <c r="V32"/>
  <c r="W32" s="1"/>
  <c r="V31"/>
  <c r="T31"/>
  <c r="N30"/>
  <c r="R29"/>
  <c r="E29"/>
  <c r="N29" s="1"/>
  <c r="R28"/>
  <c r="J28"/>
  <c r="G28" s="1"/>
  <c r="AD28" s="1"/>
  <c r="E28"/>
  <c r="N28" s="1"/>
  <c r="E26"/>
  <c r="T25"/>
  <c r="T26" s="1"/>
  <c r="V25"/>
  <c r="W25" s="1"/>
  <c r="P23"/>
  <c r="N23"/>
  <c r="H23"/>
  <c r="R16"/>
  <c r="R12" s="1"/>
  <c r="P16"/>
  <c r="P12" s="1"/>
  <c r="N16"/>
  <c r="N12" s="1"/>
  <c r="J14"/>
  <c r="L14" s="1"/>
  <c r="L12" s="1"/>
  <c r="H14"/>
  <c r="H12" s="1"/>
  <c r="G109" l="1"/>
  <c r="R92"/>
  <c r="R95" s="1"/>
  <c r="AE23"/>
  <c r="T46"/>
  <c r="T44"/>
  <c r="N65"/>
  <c r="N68" s="1"/>
  <c r="E68"/>
  <c r="G105"/>
  <c r="AD101"/>
  <c r="R42"/>
  <c r="R44" s="1"/>
  <c r="R46" s="1"/>
  <c r="P44"/>
  <c r="P46" s="1"/>
  <c r="N42"/>
  <c r="R56"/>
  <c r="R58" s="1"/>
  <c r="W43"/>
  <c r="W44" s="1"/>
  <c r="W46" s="1"/>
  <c r="V44"/>
  <c r="I156"/>
  <c r="P120"/>
  <c r="E120"/>
  <c r="M150"/>
  <c r="Q129"/>
  <c r="P127"/>
  <c r="P129" s="1"/>
  <c r="R97"/>
  <c r="R99" s="1"/>
  <c r="I152"/>
  <c r="I155" s="1"/>
  <c r="T129"/>
  <c r="T127"/>
  <c r="R35"/>
  <c r="P22"/>
  <c r="L38"/>
  <c r="L23" s="1"/>
  <c r="N50"/>
  <c r="P158"/>
  <c r="E129"/>
  <c r="J12"/>
  <c r="G37"/>
  <c r="V129"/>
  <c r="W125"/>
  <c r="W127" s="1"/>
  <c r="O158"/>
  <c r="V77"/>
  <c r="W75"/>
  <c r="W31"/>
  <c r="X31" s="1"/>
  <c r="P68"/>
  <c r="G89"/>
  <c r="W133"/>
  <c r="W134" s="1"/>
  <c r="T37"/>
  <c r="T39" s="1"/>
  <c r="E89"/>
  <c r="R112"/>
  <c r="R114" s="1"/>
  <c r="L158"/>
  <c r="X94"/>
  <c r="G23"/>
  <c r="T54"/>
  <c r="J82"/>
  <c r="R23"/>
  <c r="N105"/>
  <c r="K20"/>
  <c r="J37"/>
  <c r="J39" s="1"/>
  <c r="L46"/>
  <c r="G80"/>
  <c r="K22"/>
  <c r="J156"/>
  <c r="J158" s="1"/>
  <c r="L150"/>
  <c r="I150"/>
  <c r="P77"/>
  <c r="T95"/>
  <c r="J23"/>
  <c r="L28"/>
  <c r="L37" s="1"/>
  <c r="H41"/>
  <c r="H44" s="1"/>
  <c r="H46" s="1"/>
  <c r="H20" s="1"/>
  <c r="J44"/>
  <c r="J46" s="1"/>
  <c r="L141"/>
  <c r="L144" s="1"/>
  <c r="I158"/>
  <c r="X81"/>
  <c r="L152"/>
  <c r="L155" s="1"/>
  <c r="E46"/>
  <c r="V57"/>
  <c r="L61"/>
  <c r="L68" s="1"/>
  <c r="R116"/>
  <c r="R120" s="1"/>
  <c r="L122"/>
  <c r="L127" s="1"/>
  <c r="L129" s="1"/>
  <c r="W139"/>
  <c r="F158"/>
  <c r="J157"/>
  <c r="X33"/>
  <c r="V37"/>
  <c r="T105"/>
  <c r="X53"/>
  <c r="W77"/>
  <c r="O152"/>
  <c r="O155" s="1"/>
  <c r="F155"/>
  <c r="P152"/>
  <c r="V134"/>
  <c r="N134"/>
  <c r="V118"/>
  <c r="P37"/>
  <c r="P39" s="1"/>
  <c r="P134"/>
  <c r="Q134"/>
  <c r="R66"/>
  <c r="W26"/>
  <c r="V26"/>
  <c r="J129"/>
  <c r="R152"/>
  <c r="V46"/>
  <c r="Q68"/>
  <c r="R65"/>
  <c r="W95"/>
  <c r="V95"/>
  <c r="R156"/>
  <c r="R158" s="1"/>
  <c r="R150"/>
  <c r="X86"/>
  <c r="X87" s="1"/>
  <c r="X89" s="1"/>
  <c r="W82"/>
  <c r="X80"/>
  <c r="W114"/>
  <c r="V114"/>
  <c r="V68"/>
  <c r="W68"/>
  <c r="W87"/>
  <c r="W89" s="1"/>
  <c r="V87"/>
  <c r="V89" s="1"/>
  <c r="V54"/>
  <c r="G46"/>
  <c r="G26"/>
  <c r="S150"/>
  <c r="R154"/>
  <c r="S156"/>
  <c r="S158" s="1"/>
  <c r="P54"/>
  <c r="J95"/>
  <c r="N116"/>
  <c r="N120" s="1"/>
  <c r="L136"/>
  <c r="L139" s="1"/>
  <c r="P154"/>
  <c r="J150"/>
  <c r="V82"/>
  <c r="J148"/>
  <c r="R50"/>
  <c r="R54" s="1"/>
  <c r="G54"/>
  <c r="R74"/>
  <c r="R77" s="1"/>
  <c r="Q82"/>
  <c r="R84"/>
  <c r="R87" s="1"/>
  <c r="R89" s="1"/>
  <c r="W99"/>
  <c r="V103"/>
  <c r="W103" s="1"/>
  <c r="R132"/>
  <c r="R134" s="1"/>
  <c r="P150"/>
  <c r="R30"/>
  <c r="Q87"/>
  <c r="Q89" s="1"/>
  <c r="R101"/>
  <c r="R105" s="1"/>
  <c r="X104"/>
  <c r="R107"/>
  <c r="R109" s="1"/>
  <c r="L111"/>
  <c r="L114" s="1"/>
  <c r="R123"/>
  <c r="V142"/>
  <c r="W142" s="1"/>
  <c r="O150"/>
  <c r="G155"/>
  <c r="G82" l="1"/>
  <c r="G20"/>
  <c r="T20"/>
  <c r="T22" s="1"/>
  <c r="N46"/>
  <c r="N44"/>
  <c r="R22"/>
  <c r="Q20"/>
  <c r="H22"/>
  <c r="N54"/>
  <c r="L39"/>
  <c r="L20" s="1"/>
  <c r="R129"/>
  <c r="R127"/>
  <c r="P20"/>
  <c r="X82"/>
  <c r="R37"/>
  <c r="R39" s="1"/>
  <c r="G39"/>
  <c r="V39"/>
  <c r="W37"/>
  <c r="W39" s="1"/>
  <c r="X133"/>
  <c r="X134" s="1"/>
  <c r="W57"/>
  <c r="W58" s="1"/>
  <c r="X125"/>
  <c r="W129"/>
  <c r="V120"/>
  <c r="W118"/>
  <c r="W120" s="1"/>
  <c r="X67"/>
  <c r="X68" s="1"/>
  <c r="V58"/>
  <c r="J20"/>
  <c r="X139"/>
  <c r="L22"/>
  <c r="R155"/>
  <c r="X119"/>
  <c r="X32"/>
  <c r="X93"/>
  <c r="X95" s="1"/>
  <c r="W54"/>
  <c r="X75"/>
  <c r="X77" s="1"/>
  <c r="P155"/>
  <c r="R68"/>
  <c r="X113"/>
  <c r="X114" s="1"/>
  <c r="X25"/>
  <c r="X26" s="1"/>
  <c r="V105"/>
  <c r="W105"/>
  <c r="X43"/>
  <c r="J22"/>
  <c r="X52"/>
  <c r="X54" s="1"/>
  <c r="W144"/>
  <c r="V144"/>
  <c r="X46" l="1"/>
  <c r="X44"/>
  <c r="X127"/>
  <c r="X129" s="1"/>
  <c r="R20"/>
  <c r="V20"/>
  <c r="AE20" s="1"/>
  <c r="AF20" s="1"/>
  <c r="X57"/>
  <c r="X58" s="1"/>
  <c r="W20"/>
  <c r="W22" s="1"/>
  <c r="X118"/>
  <c r="X120" s="1"/>
  <c r="X37"/>
  <c r="X39" s="1"/>
  <c r="G158"/>
  <c r="X142"/>
  <c r="X144" s="1"/>
  <c r="X103"/>
  <c r="X105" s="1"/>
  <c r="X20" l="1"/>
  <c r="X22" s="1"/>
  <c r="V22"/>
  <c r="AE22" s="1"/>
  <c r="AF22" s="1"/>
  <c r="E37" l="1"/>
  <c r="E20" s="1"/>
  <c r="N37"/>
  <c r="N39" s="1"/>
  <c r="N20" s="1"/>
  <c r="AD20" s="1"/>
  <c r="E39" l="1"/>
</calcChain>
</file>

<file path=xl/sharedStrings.xml><?xml version="1.0" encoding="utf-8"?>
<sst xmlns="http://schemas.openxmlformats.org/spreadsheetml/2006/main" count="309" uniqueCount="178">
  <si>
    <t>№ п/п</t>
  </si>
  <si>
    <t>Наименование объекта</t>
  </si>
  <si>
    <t>Катего-рия</t>
  </si>
  <si>
    <t>Параметры сооружения</t>
  </si>
  <si>
    <t>ВСЕГО</t>
  </si>
  <si>
    <t>Объём финансирования по годам</t>
  </si>
  <si>
    <t>км</t>
  </si>
  <si>
    <t>Стоимость, тыс. рублей</t>
  </si>
  <si>
    <t>2024 год</t>
  </si>
  <si>
    <t>2025 год</t>
  </si>
  <si>
    <t>2026 год</t>
  </si>
  <si>
    <t>Протяженность</t>
  </si>
  <si>
    <t xml:space="preserve">  Стоимость, тыс. рублей</t>
  </si>
  <si>
    <t>в том числе</t>
  </si>
  <si>
    <t>пог. м</t>
  </si>
  <si>
    <t>областной бюджет</t>
  </si>
  <si>
    <t>федераль-ный бюджет</t>
  </si>
  <si>
    <t xml:space="preserve">Региональный проект «Региональная и местная дорожная сеть», входящий в национальный проект </t>
  </si>
  <si>
    <t>I</t>
  </si>
  <si>
    <t>Приведены в нормативное состояние / построены искусственные сооружения на автомобильных дорогах регионального или межмуниципального и местного значения</t>
  </si>
  <si>
    <t>Капитально отремонтировано автодорог</t>
  </si>
  <si>
    <t>Алексеевский муниципальный округ</t>
  </si>
  <si>
    <t>Иващенково - Березки, км 0+000 - км 2+500</t>
  </si>
  <si>
    <t>IV</t>
  </si>
  <si>
    <t>Красногвардейский район</t>
  </si>
  <si>
    <t xml:space="preserve">«Бирюч - Калиново - Никитовка» - Арнаутово, км 0+000 -  км 2+800 </t>
  </si>
  <si>
    <t>V</t>
  </si>
  <si>
    <t xml:space="preserve">Чернянский район </t>
  </si>
  <si>
    <t>Владимировка - Новоалександровка - Ларисовка, км 0+000 - км 2+300</t>
  </si>
  <si>
    <t>Отремонтировано автомобильных дорог</t>
  </si>
  <si>
    <t xml:space="preserve">ВСЕГО  по автодорогам, </t>
  </si>
  <si>
    <t xml:space="preserve"> - регионального значения </t>
  </si>
  <si>
    <t xml:space="preserve"> - местного значения</t>
  </si>
  <si>
    <t>ИТОГО по Алексеевскому муниципальному округу</t>
  </si>
  <si>
    <t>Белгородский район</t>
  </si>
  <si>
    <t xml:space="preserve">Разумное - Севрюково - Новосадовый,               км 8+245 - км 14+635 </t>
  </si>
  <si>
    <t>II</t>
  </si>
  <si>
    <t>«Крым» - Комсомольский - Красиво,                 км 0+020 - км 2+975; км 6+670 - км 9+020</t>
  </si>
  <si>
    <t>Стрелецкое - Раково,  км 0+000 -  км 5+050</t>
  </si>
  <si>
    <t xml:space="preserve"> </t>
  </si>
  <si>
    <t>III</t>
  </si>
  <si>
    <t>Долбино - Угрим, км 0+000 - км 2+900</t>
  </si>
  <si>
    <t xml:space="preserve">  </t>
  </si>
  <si>
    <t>Белгород - Шебекино - Волоконовка,               км 6+800  - км 8+280</t>
  </si>
  <si>
    <t>Подъезд к селу Нижний Ольшанец,                   км 0+745 - км 3+650</t>
  </si>
  <si>
    <t xml:space="preserve">Автодороги регионального значения </t>
  </si>
  <si>
    <t>Автодороги местного значения</t>
  </si>
  <si>
    <t>ИТОГО по Белгородскому району</t>
  </si>
  <si>
    <t>Борисовский район</t>
  </si>
  <si>
    <t>«Белгород - Грайворон» - Козинка,                      км 37+000 - км 42+630</t>
  </si>
  <si>
    <t>Борисовка - Пролетарский - Октябрьская Готня - станция Кулиновка - Красный Куток, км 0+015 - км 4+000</t>
  </si>
  <si>
    <t>ИТОГО по Борисовскому району</t>
  </si>
  <si>
    <t>Валуйский муниципальный округ</t>
  </si>
  <si>
    <t>«Валуйки - Казинка - Вериговка» - Бирюч, 
км 0+000 - км 0+620</t>
  </si>
  <si>
    <t>«Валуйки - Казинка - Вериговка»,                                        км 26+800 - км 32+550</t>
  </si>
  <si>
    <t>«Новый Оскол - Валуйки - Ровеньки» - Принцевка, км 0+032 - км 0+900</t>
  </si>
  <si>
    <t xml:space="preserve">    </t>
  </si>
  <si>
    <t>«Валуйки - Казинка - Вериговка» - Конопляновка» - Гладково,                                км 0+000 - км 4+764</t>
  </si>
  <si>
    <t xml:space="preserve">     </t>
  </si>
  <si>
    <t xml:space="preserve">«Валуйки - Казинка - Вериговка» - Дубровка,    км 0+000 - км 1+600 </t>
  </si>
  <si>
    <t>ИТОГО по Валуйскому муниципальному округу</t>
  </si>
  <si>
    <t>Вейделевский район</t>
  </si>
  <si>
    <t>«Новый Оскол - Валуйки - Ровеньки» - Колесников, км 0+000 - км 3+000</t>
  </si>
  <si>
    <t>IV/V</t>
  </si>
  <si>
    <t xml:space="preserve">Долгое - Россошь - Потоловка,                          км 0+000 - км 7+000 </t>
  </si>
  <si>
    <t>ИТОГО по Вейделевскому району</t>
  </si>
  <si>
    <t>Волоконовский район</t>
  </si>
  <si>
    <t>Подъезд к селу Грушевка,                                             км 0+000 - км 3+600</t>
  </si>
  <si>
    <t>Подъезд к с. Грушевка</t>
  </si>
  <si>
    <t>Ульяновка - Голофеевка,                                км 0+000 - км 6+600</t>
  </si>
  <si>
    <t>Волоконовка - Ливенка - Никитовка - Покровка - Шеншиновка,                                 км 0+000 - км 14+000</t>
  </si>
  <si>
    <t>Новый Оскол - Валуйки - Ровеньки,             км 28+800 - км 31+000, км 31+150 -               км 32+600, км 34+900 - км 40+100</t>
  </si>
  <si>
    <t xml:space="preserve"> «Волоконовка - Ливенка - Никитовка» - Пыточный - Покровка - Шеншиновка,               км 6+850 - км 14+000</t>
  </si>
  <si>
    <t xml:space="preserve"> «Волоконовка - Ливенка - Никитовка» - Пыточный - Покровка - Шеншиновка,               км 0+000-км 6+850                                                                   </t>
  </si>
  <si>
    <t>Обход п. Пятницкое, км 0+000 - км 5+000</t>
  </si>
  <si>
    <t>ИТОГО по Волоконовскому району</t>
  </si>
  <si>
    <t>Грайворонский городской округ</t>
  </si>
  <si>
    <t>«Головчино - Доброполье» - Горьковский,              км 0+000 - км 1+700</t>
  </si>
  <si>
    <t>ИТОГО по Грайворонскому городскому округу</t>
  </si>
  <si>
    <t>Губкинский городской округ</t>
  </si>
  <si>
    <t>Скородное - Кочки, км 7+100 - км 11+000</t>
  </si>
  <si>
    <t>Короча - Губкин - граница Курской области,   км 23+000 - км 29+000</t>
  </si>
  <si>
    <t>ИТОГО по Губкинскому городскому округу</t>
  </si>
  <si>
    <t>Ивнянский район</t>
  </si>
  <si>
    <t>«Крым» - Ивня - Ракитное - Курасовка,             км 0+000 - км 2+300</t>
  </si>
  <si>
    <t>«Крым» - Сухосолотино, км 0+000 - км 4+300</t>
  </si>
  <si>
    <t>ИТОГО по Ивнянскому району</t>
  </si>
  <si>
    <t>Корочанский район</t>
  </si>
  <si>
    <t>«Короча - Чернянка - Красное» - Бубново - Васильдол, км 0+000 - км 4+100</t>
  </si>
  <si>
    <t>Короча - Губкин - граница Курской области,   км 13+500 -км 19+500</t>
  </si>
  <si>
    <t>ИТОГО по Корочанскому району</t>
  </si>
  <si>
    <t>Красненский район</t>
  </si>
  <si>
    <t>Короча - Чернянка - Красное - Новосолдатка, км 0+000 - км 3+900</t>
  </si>
  <si>
    <t>Красное - Польниково, км 0+000 - км 4+200</t>
  </si>
  <si>
    <t>«Красное - Свистовка - Киселевка» - Малиново, км 0+000 - км 2+100</t>
  </si>
  <si>
    <t>ИТОГО по Красненскому району</t>
  </si>
  <si>
    <t>«Котляров - Ливенка» - Ковалев,                       км 0+000 - км 4+400</t>
  </si>
  <si>
    <t xml:space="preserve">«Белгород - Новый Оскол - Советское» - Веселое - Николаевский с подъездом к селу Николаевский, км 6+000 - км 11+400 </t>
  </si>
  <si>
    <t>ИТОГО по Красногвардейскому району</t>
  </si>
  <si>
    <t>Новооскольский муниципальный округ</t>
  </si>
  <si>
    <r>
      <rPr>
        <sz val="16"/>
        <rFont val="Times New Roman"/>
        <family val="1"/>
        <charset val="204"/>
      </rPr>
      <t>«Белгород - Новый Оскол - Советское» - Богородское, км  0+053 - км 9+700</t>
    </r>
    <r>
      <rPr>
        <b/>
        <sz val="12"/>
        <rFont val="Times New Roman"/>
        <family val="1"/>
        <charset val="204"/>
      </rPr>
      <t xml:space="preserve"> </t>
    </r>
  </si>
  <si>
    <t>ИТОГО по Новооскольскому муниципальному округу</t>
  </si>
  <si>
    <t>Прохоровский  район</t>
  </si>
  <si>
    <t>Прохоровка - Плота - Ржавец - Казачье,                                                           км 25+500 - км 33+100</t>
  </si>
  <si>
    <t>ИТОГО по Прохоровскому району</t>
  </si>
  <si>
    <t>Ракитянский район</t>
  </si>
  <si>
    <t>Борисовка - Пролетарский,                                км 27+410 - км 30+230</t>
  </si>
  <si>
    <t xml:space="preserve">   </t>
  </si>
  <si>
    <t>«Томаровка - Красная Яруга -                             Илек-Пеньковка - Колотиловка» - Коровино,   км  6+300 - км 9+800</t>
  </si>
  <si>
    <t>Ровеньский район</t>
  </si>
  <si>
    <t>«Белгород - Новый Оскол - Советское» - Айдар, км 32+250 - км 38+268</t>
  </si>
  <si>
    <t>«Белгород - Новый Оскол - Советское» - Айдар, км 23+250 - км 27+000</t>
  </si>
  <si>
    <t>ИТОГО по Ровеньскому району</t>
  </si>
  <si>
    <t>Старооскольский городской округ</t>
  </si>
  <si>
    <t>Владимировка - Новоалександровка - Ларисовка, км 1+820 - км 8+630</t>
  </si>
  <si>
    <t>Шаталовка - Потудань, км 0+000 - км 6+000</t>
  </si>
  <si>
    <t>Магистраль 1-1, км 15+515 - км 21+515</t>
  </si>
  <si>
    <t>ИТОГО по Старооскольскому городскому округу</t>
  </si>
  <si>
    <t>Красный Остров - Русская Халань,                    км 0+000 - км 3+800</t>
  </si>
  <si>
    <t>«Короча - Чернянка - Красное» - Новая Масловка, км 0+000 - км 5+000</t>
  </si>
  <si>
    <t>ИТОГО по Чернянскому району</t>
  </si>
  <si>
    <t>Шебекинский муниципальный округ</t>
  </si>
  <si>
    <t>Артельное - Булановка - Бершаково,                 км 0+000 - км 8+320</t>
  </si>
  <si>
    <t>ИТОГО по Шебекинскому муниципальному округу</t>
  </si>
  <si>
    <t>Яковлевский муниципальный округ</t>
  </si>
  <si>
    <t>Жданов - Гостищево, км 0+000 - км 3+230</t>
  </si>
  <si>
    <t>Томаровка - Строитель - «Крым»,                      км 0+000 - км 6+400</t>
  </si>
  <si>
    <t>ИТОГО по Яковлевскому муниципальному округу</t>
  </si>
  <si>
    <t>город Белгород</t>
  </si>
  <si>
    <t>ИТОГО по городу Белгороду</t>
  </si>
  <si>
    <t xml:space="preserve">ВСЕГО  по искусственным сооружениям  </t>
  </si>
  <si>
    <t xml:space="preserve"> - регионального значения, из них: </t>
  </si>
  <si>
    <t xml:space="preserve"> - реконструировано</t>
  </si>
  <si>
    <t xml:space="preserve"> - капитально отремонтировано</t>
  </si>
  <si>
    <t xml:space="preserve"> - отремонтировано</t>
  </si>
  <si>
    <t xml:space="preserve"> - местного значения, из них: </t>
  </si>
  <si>
    <t>Ремонт путепровода через железную дорогу  на ул. Революционная в городе Алексеевка Алексеевского городского округа Белгородской области</t>
  </si>
  <si>
    <t>Реконструкция мостового перехода через реку Черная Калитва на км 0+140 автомобильной дороги «Белгород - Новый Оскол - Советское» - Шапорево в Алексевском городском округе</t>
  </si>
  <si>
    <t xml:space="preserve">Капитальный  ремонт моста  (левый) через       р. Искринка на км 9+840 автодороги                Белгород - Грайворон - Козинка </t>
  </si>
  <si>
    <t xml:space="preserve">Ремонт моста (правый) через р. Искринка         на км 9+840 автодороги Белгород -                  Грайворон - Козинка </t>
  </si>
  <si>
    <t>Капитальный ремонт моста через р. Ворскла    на км 0+250 автомобильной дороги                  Борисовка - Пролетарский</t>
  </si>
  <si>
    <t>Ремонт моста через р. Ворскла на км 0+800 автомобильной дороги Порубежное - Теплое</t>
  </si>
  <si>
    <t>Ремонт моста через р. Валуй на км 1+200 автодороги «Валуйки - Алексеевка -                   Красное» - Филиппово - Верхний Моисей</t>
  </si>
  <si>
    <t>Ремонт моста через р. Ураева на км 100+930 автодороги Новый Оскол - Валуйки - Ровеньки</t>
  </si>
  <si>
    <t xml:space="preserve">Капитальный ремонт путепровода                     через железную дорогу на км 40+700               автодороги Новый Оскол - Валуйки - Ровеньки </t>
  </si>
  <si>
    <t xml:space="preserve">Капитальный ремонт путепровода                               через железную дорогу на км 41+490                                  автодороги Новый Оскол - Валуйки - Ровеньки </t>
  </si>
  <si>
    <t>Ремонт моста через р. Лозовая на км 66+500 автодороги Белгород - Грайворон - Козинка</t>
  </si>
  <si>
    <t xml:space="preserve">Ремонт моста через суходол                              на км 10+600 автодороги Скородное - Кочки </t>
  </si>
  <si>
    <t xml:space="preserve">Ремонт моста через р. Короча на км 0+000       автодороги Подъезд к селу Бехтеевка </t>
  </si>
  <si>
    <t xml:space="preserve">Капитальный ремонт путепровода через железную дорогу на ул. Кооперативная            в городе Новый Оскол </t>
  </si>
  <si>
    <t>Прохоровский район</t>
  </si>
  <si>
    <t>Ремонт моста через р.Северский Донец            на км 35+010 а/д Короча - Новая Слободка -Хмелевое - Призначное</t>
  </si>
  <si>
    <t>Подъезд к п. Новосадовый, км 0+010 -               км 1+410</t>
  </si>
  <si>
    <t xml:space="preserve">Таврово - Соломино - Разумное,                           км 0+000 - км 3+000 - 2025 год;                          км 3+000 - км 4+600 - 2026 год    </t>
  </si>
  <si>
    <t>«Еремовка - Ровеньки - Нижняя Серебрянка» - Верхняя Серебрянка, км 0+000 - км 3+500</t>
  </si>
  <si>
    <t>Нагорье - Ржевка - граница Воронежской области, км 0+000 - км 2+900</t>
  </si>
  <si>
    <t>Сапрыкино - Орлик, км 4+700 - км 7+500</t>
  </si>
  <si>
    <t>Гезов - Хлевище - Попасный - Мирный,            0+000 - км 7+606</t>
  </si>
  <si>
    <t xml:space="preserve">«Томаровка -Красная Яруга -                              Илек-Пеньковка - Колотиловка» - Коровино,   км 0+050 - км 6+300 </t>
  </si>
  <si>
    <t>Великомихайловка - Подвислое,                         км 0+018 - км 2+800</t>
  </si>
  <si>
    <t>Валуйки - Пристень - Борки,                                                   км 4+100 - км 8+187</t>
  </si>
  <si>
    <t>«Юго - Западный -2» - Комсомольский,               км 6+500 - км 7+900</t>
  </si>
  <si>
    <t>Протяжен-ность</t>
  </si>
  <si>
    <t>област-ной бюджет</t>
  </si>
  <si>
    <t>муници-пальный бюджет</t>
  </si>
  <si>
    <t xml:space="preserve">Беломестное - Слоновка - Николаевка - Львовка, км 0+000 - км 12+020;  км 23+485 -                      км 25+215                                       </t>
  </si>
  <si>
    <t>Артельное - Белый Колодезь - Караичное - Верхнеберезово, км 12+914 - км 18+000</t>
  </si>
  <si>
    <t>«Белгород - Новый Оскол - Советское» - Замостье, км 0+000 - км 2+100</t>
  </si>
  <si>
    <t>«Камызино - Новоуколово - Владимировка - Обуховка» - Ураково, км 0+000 - км 1+200</t>
  </si>
  <si>
    <t xml:space="preserve">Новый Оскол - Ниновка, км 0+000 -                                км 2+226 </t>
  </si>
  <si>
    <t>Борисовка - Пролетарский,                                                      км 6+000 - км 9+500</t>
  </si>
  <si>
    <t>ИТОГО по Ракитянскому району</t>
  </si>
  <si>
    <t>Магистраль 1-1, км 8+00 - км 15+515</t>
  </si>
  <si>
    <t>Шаталовка - Луганка - Боровая - Высокий,                                                               км 2+255 - км 8+255</t>
  </si>
  <si>
    <t>Приложение  № 1                                                                                                                                                                                                                   к государственной программе Белгородской области «Совершенствование и развитие транспортной системы                                           и дорожной сети Белгородской области»</t>
  </si>
  <si>
    <t>Перечень объектов по ремонту  автомобильных дорог и искусственных сооружений на них на 2025 - 2027 годы в рамках регионального проекта «Региональная и местная дорожная сеть»</t>
  </si>
  <si>
    <t>Подольхи - Гнездиловка - Черновка,                 км 8+300 - км 11+800 - 2025 год;                              км 0+000 - км 8+300 - 2026 год</t>
  </si>
  <si>
    <t>Ивня - Песчаное - Череново,                                     км 0+000 - км 3+070 - 2025 год;                                      км 3+070 - км 7+370 - 2026 год</t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</si>
</sst>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#,##0.000"/>
    <numFmt numFmtId="166" formatCode="#,##0.000_р_."/>
    <numFmt numFmtId="167" formatCode="0.00000"/>
    <numFmt numFmtId="168" formatCode="0.000"/>
    <numFmt numFmtId="169" formatCode="0.0"/>
    <numFmt numFmtId="170" formatCode="#,##0.0_р_."/>
    <numFmt numFmtId="171" formatCode="#,##0.0;[Red]#,##0.0"/>
    <numFmt numFmtId="172" formatCode="#,##0.00000"/>
    <numFmt numFmtId="173" formatCode="#,##0.0000"/>
  </numFmts>
  <fonts count="21">
    <font>
      <sz val="10"/>
      <name val="Arial Cyr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20" fillId="0" borderId="0"/>
    <xf numFmtId="0" fontId="4" fillId="0" borderId="0"/>
    <xf numFmtId="0" fontId="3" fillId="0" borderId="0"/>
    <xf numFmtId="0" fontId="4" fillId="0" borderId="0"/>
    <xf numFmtId="0" fontId="1" fillId="0" borderId="0"/>
  </cellStyleXfs>
  <cellXfs count="193">
    <xf numFmtId="0" fontId="0" fillId="0" borderId="0" xfId="0"/>
    <xf numFmtId="0" fontId="5" fillId="0" borderId="0" xfId="12" applyFont="1" applyAlignment="1" applyProtection="1">
      <alignment horizontal="center"/>
    </xf>
    <xf numFmtId="0" fontId="5" fillId="0" borderId="0" xfId="12" applyFont="1" applyAlignment="1" applyProtection="1"/>
    <xf numFmtId="0" fontId="6" fillId="0" borderId="0" xfId="12" applyFont="1" applyAlignment="1" applyProtection="1">
      <alignment horizontal="center"/>
    </xf>
    <xf numFmtId="0" fontId="6" fillId="0" borderId="0" xfId="12" applyFont="1" applyAlignment="1" applyProtection="1"/>
    <xf numFmtId="0" fontId="7" fillId="0" borderId="0" xfId="12" applyFont="1" applyAlignment="1" applyProtection="1"/>
    <xf numFmtId="164" fontId="6" fillId="0" borderId="0" xfId="12" applyNumberFormat="1" applyFont="1" applyAlignment="1" applyProtection="1"/>
    <xf numFmtId="0" fontId="7" fillId="0" borderId="0" xfId="12" applyFont="1" applyAlignment="1" applyProtection="1">
      <alignment horizontal="center"/>
    </xf>
    <xf numFmtId="0" fontId="4" fillId="0" borderId="0" xfId="12" applyFont="1" applyAlignment="1" applyProtection="1"/>
    <xf numFmtId="0" fontId="4" fillId="0" borderId="0" xfId="12" applyFont="1" applyBorder="1" applyAlignment="1" applyProtection="1"/>
    <xf numFmtId="0" fontId="6" fillId="0" borderId="0" xfId="12" applyFont="1" applyBorder="1" applyAlignment="1" applyProtection="1"/>
    <xf numFmtId="0" fontId="7" fillId="0" borderId="5" xfId="12" applyFont="1" applyBorder="1" applyAlignment="1" applyProtection="1">
      <alignment horizontal="center" vertical="center"/>
    </xf>
    <xf numFmtId="0" fontId="6" fillId="0" borderId="1" xfId="12" applyFont="1" applyBorder="1" applyAlignment="1" applyProtection="1"/>
    <xf numFmtId="0" fontId="12" fillId="0" borderId="14" xfId="0" applyFont="1" applyBorder="1" applyAlignment="1" applyProtection="1">
      <alignment horizontal="center" vertical="top"/>
    </xf>
    <xf numFmtId="0" fontId="8" fillId="0" borderId="16" xfId="12" applyFont="1" applyBorder="1" applyAlignment="1" applyProtection="1">
      <alignment horizontal="center" vertical="top" wrapText="1"/>
    </xf>
    <xf numFmtId="0" fontId="14" fillId="0" borderId="6" xfId="0" applyFont="1" applyBorder="1" applyAlignment="1" applyProtection="1">
      <alignment horizontal="left" vertical="top" wrapText="1"/>
    </xf>
    <xf numFmtId="164" fontId="8" fillId="0" borderId="6" xfId="12" applyNumberFormat="1" applyFont="1" applyBorder="1" applyAlignment="1" applyProtection="1">
      <alignment horizontal="center" vertical="center" wrapText="1"/>
    </xf>
    <xf numFmtId="164" fontId="8" fillId="0" borderId="7" xfId="12" applyNumberFormat="1" applyFont="1" applyBorder="1" applyAlignment="1" applyProtection="1">
      <alignment horizontal="center" vertical="center" wrapText="1"/>
    </xf>
    <xf numFmtId="0" fontId="15" fillId="0" borderId="16" xfId="12" applyFont="1" applyBorder="1" applyAlignment="1" applyProtection="1">
      <alignment horizontal="center" vertical="top" wrapText="1"/>
    </xf>
    <xf numFmtId="0" fontId="15" fillId="0" borderId="6" xfId="12" applyFont="1" applyBorder="1" applyAlignment="1" applyProtection="1">
      <alignment horizontal="center" vertical="center" wrapText="1"/>
    </xf>
    <xf numFmtId="165" fontId="15" fillId="0" borderId="6" xfId="12" applyNumberFormat="1" applyFont="1" applyBorder="1" applyAlignment="1" applyProtection="1">
      <alignment horizontal="center" vertical="center" wrapText="1"/>
    </xf>
    <xf numFmtId="164" fontId="15" fillId="0" borderId="6" xfId="12" applyNumberFormat="1" applyFont="1" applyBorder="1" applyAlignment="1" applyProtection="1">
      <alignment horizontal="center" vertical="center" wrapText="1"/>
    </xf>
    <xf numFmtId="0" fontId="8" fillId="0" borderId="6" xfId="12" applyFont="1" applyBorder="1" applyAlignment="1" applyProtection="1">
      <alignment horizontal="left" vertical="center" wrapText="1"/>
    </xf>
    <xf numFmtId="0" fontId="15" fillId="0" borderId="6" xfId="0" applyFont="1" applyBorder="1" applyAlignment="1" applyProtection="1">
      <alignment vertical="top" wrapText="1"/>
    </xf>
    <xf numFmtId="0" fontId="0" fillId="0" borderId="6" xfId="0" applyBorder="1" applyAlignment="1" applyProtection="1"/>
    <xf numFmtId="166" fontId="15" fillId="0" borderId="6" xfId="12" applyNumberFormat="1" applyFont="1" applyBorder="1" applyAlignment="1" applyProtection="1">
      <alignment horizontal="center" vertical="center" wrapText="1"/>
    </xf>
    <xf numFmtId="164" fontId="14" fillId="0" borderId="6" xfId="0" applyNumberFormat="1" applyFont="1" applyBorder="1" applyAlignment="1" applyProtection="1">
      <alignment horizontal="left" vertical="top" wrapText="1"/>
    </xf>
    <xf numFmtId="0" fontId="7" fillId="0" borderId="16" xfId="12" applyFont="1" applyBorder="1" applyAlignment="1" applyProtection="1">
      <alignment horizontal="center" wrapText="1"/>
    </xf>
    <xf numFmtId="0" fontId="13" fillId="0" borderId="17" xfId="0" applyFont="1" applyBorder="1" applyAlignment="1" applyProtection="1">
      <alignment vertical="center" wrapText="1"/>
    </xf>
    <xf numFmtId="0" fontId="15" fillId="0" borderId="6" xfId="12" applyFont="1" applyBorder="1" applyAlignment="1" applyProtection="1"/>
    <xf numFmtId="0" fontId="15" fillId="0" borderId="18" xfId="12" applyFont="1" applyBorder="1" applyAlignment="1" applyProtection="1"/>
    <xf numFmtId="0" fontId="15" fillId="0" borderId="0" xfId="12" applyFont="1" applyAlignment="1" applyProtection="1">
      <alignment vertical="center" wrapText="1"/>
    </xf>
    <xf numFmtId="3" fontId="8" fillId="0" borderId="6" xfId="12" applyNumberFormat="1" applyFont="1" applyBorder="1" applyAlignment="1" applyProtection="1">
      <alignment horizontal="center" vertical="center" wrapText="1"/>
    </xf>
    <xf numFmtId="165" fontId="8" fillId="0" borderId="6" xfId="12" applyNumberFormat="1" applyFont="1" applyBorder="1" applyAlignment="1" applyProtection="1">
      <alignment horizontal="center" vertical="center" wrapText="1"/>
    </xf>
    <xf numFmtId="164" fontId="8" fillId="0" borderId="17" xfId="12" applyNumberFormat="1" applyFont="1" applyBorder="1" applyAlignment="1" applyProtection="1">
      <alignment horizontal="center" vertical="center" wrapText="1"/>
    </xf>
    <xf numFmtId="164" fontId="15" fillId="0" borderId="0" xfId="12" applyNumberFormat="1" applyFont="1" applyAlignment="1" applyProtection="1">
      <alignment vertical="center" wrapText="1"/>
    </xf>
    <xf numFmtId="164" fontId="8" fillId="0" borderId="0" xfId="12" applyNumberFormat="1" applyFont="1" applyBorder="1" applyAlignment="1" applyProtection="1">
      <alignment horizontal="center" vertical="center" wrapText="1"/>
    </xf>
    <xf numFmtId="164" fontId="15" fillId="0" borderId="6" xfId="12" applyNumberFormat="1" applyFont="1" applyBorder="1" applyAlignment="1" applyProtection="1"/>
    <xf numFmtId="0" fontId="13" fillId="0" borderId="6" xfId="0" applyFont="1" applyBorder="1" applyAlignment="1" applyProtection="1">
      <alignment vertical="center" wrapText="1"/>
    </xf>
    <xf numFmtId="164" fontId="15" fillId="0" borderId="7" xfId="12" applyNumberFormat="1" applyFont="1" applyBorder="1" applyAlignment="1" applyProtection="1">
      <alignment horizontal="center" vertical="center" wrapText="1"/>
    </xf>
    <xf numFmtId="164" fontId="15" fillId="0" borderId="17" xfId="12" applyNumberFormat="1" applyFont="1" applyBorder="1" applyAlignment="1" applyProtection="1">
      <alignment horizontal="center" vertical="center" wrapText="1"/>
    </xf>
    <xf numFmtId="3" fontId="15" fillId="0" borderId="6" xfId="12" applyNumberFormat="1" applyFont="1" applyBorder="1" applyAlignment="1" applyProtection="1">
      <alignment horizontal="center" vertical="center" wrapText="1"/>
    </xf>
    <xf numFmtId="170" fontId="15" fillId="0" borderId="6" xfId="11" applyNumberFormat="1" applyFont="1" applyBorder="1" applyAlignment="1" applyProtection="1">
      <alignment horizontal="center" vertical="center" wrapText="1"/>
    </xf>
    <xf numFmtId="0" fontId="15" fillId="0" borderId="6" xfId="12" applyFont="1" applyBorder="1" applyAlignment="1" applyProtection="1">
      <alignment vertical="center" wrapText="1"/>
    </xf>
    <xf numFmtId="3" fontId="15" fillId="0" borderId="17" xfId="12" applyNumberFormat="1" applyFont="1" applyBorder="1" applyAlignment="1" applyProtection="1">
      <alignment horizontal="center" vertical="center" wrapText="1"/>
    </xf>
    <xf numFmtId="0" fontId="6" fillId="0" borderId="0" xfId="12" applyFont="1" applyAlignment="1" applyProtection="1">
      <alignment vertical="center" wrapText="1"/>
    </xf>
    <xf numFmtId="164" fontId="14" fillId="0" borderId="6" xfId="0" applyNumberFormat="1" applyFont="1" applyBorder="1" applyAlignment="1" applyProtection="1">
      <alignment horizontal="center" vertical="center" wrapText="1"/>
    </xf>
    <xf numFmtId="164" fontId="6" fillId="0" borderId="0" xfId="12" applyNumberFormat="1" applyFont="1" applyAlignment="1" applyProtection="1">
      <alignment vertical="center" wrapText="1"/>
    </xf>
    <xf numFmtId="3" fontId="8" fillId="0" borderId="17" xfId="12" applyNumberFormat="1" applyFont="1" applyBorder="1" applyAlignment="1" applyProtection="1">
      <alignment horizontal="center" vertical="center" wrapText="1"/>
    </xf>
    <xf numFmtId="0" fontId="6" fillId="0" borderId="6" xfId="12" applyFont="1" applyBorder="1" applyAlignment="1" applyProtection="1">
      <alignment vertical="center" wrapText="1"/>
    </xf>
    <xf numFmtId="0" fontId="5" fillId="0" borderId="0" xfId="12" applyFont="1" applyAlignment="1" applyProtection="1">
      <alignment vertical="center" wrapText="1"/>
    </xf>
    <xf numFmtId="0" fontId="15" fillId="0" borderId="9" xfId="12" applyFont="1" applyBorder="1" applyAlignment="1" applyProtection="1">
      <alignment horizontal="center" vertical="top" wrapText="1"/>
    </xf>
    <xf numFmtId="164" fontId="15" fillId="0" borderId="10" xfId="12" applyNumberFormat="1" applyFont="1" applyBorder="1" applyAlignment="1" applyProtection="1">
      <alignment horizontal="center" vertical="center" wrapText="1"/>
    </xf>
    <xf numFmtId="0" fontId="5" fillId="0" borderId="22" xfId="12" applyFont="1" applyBorder="1" applyAlignment="1" applyProtection="1">
      <alignment vertical="center" wrapText="1"/>
    </xf>
    <xf numFmtId="170" fontId="8" fillId="0" borderId="22" xfId="12" applyNumberFormat="1" applyFont="1" applyBorder="1" applyAlignment="1" applyProtection="1">
      <alignment horizontal="center" vertical="center" wrapText="1"/>
    </xf>
    <xf numFmtId="0" fontId="19" fillId="0" borderId="22" xfId="12" applyFont="1" applyBorder="1" applyAlignment="1" applyProtection="1">
      <alignment vertical="center" wrapText="1"/>
    </xf>
    <xf numFmtId="171" fontId="8" fillId="0" borderId="22" xfId="0" applyNumberFormat="1" applyFont="1" applyBorder="1" applyAlignment="1" applyProtection="1">
      <alignment horizontal="center" vertical="center"/>
    </xf>
    <xf numFmtId="0" fontId="5" fillId="0" borderId="23" xfId="12" applyFont="1" applyBorder="1" applyAlignment="1" applyProtection="1">
      <alignment vertical="center" wrapText="1"/>
    </xf>
    <xf numFmtId="0" fontId="5" fillId="0" borderId="14" xfId="12" applyFont="1" applyBorder="1" applyAlignment="1" applyProtection="1">
      <alignment vertical="center" wrapText="1"/>
    </xf>
    <xf numFmtId="0" fontId="5" fillId="0" borderId="0" xfId="12" applyFont="1" applyAlignment="1" applyProtection="1">
      <alignment horizontal="center" vertical="center" wrapText="1"/>
    </xf>
    <xf numFmtId="164" fontId="8" fillId="0" borderId="6" xfId="12" applyNumberFormat="1" applyFont="1" applyBorder="1" applyAlignment="1" applyProtection="1">
      <alignment horizontal="center" wrapText="1"/>
    </xf>
    <xf numFmtId="0" fontId="15" fillId="0" borderId="6" xfId="12" applyFont="1" applyFill="1" applyBorder="1" applyAlignment="1" applyProtection="1">
      <alignment horizontal="left" vertical="center" wrapText="1"/>
    </xf>
    <xf numFmtId="0" fontId="11" fillId="0" borderId="9" xfId="12" applyFont="1" applyBorder="1" applyAlignment="1" applyProtection="1">
      <alignment horizontal="center" vertical="center"/>
    </xf>
    <xf numFmtId="0" fontId="11" fillId="0" borderId="10" xfId="12" applyFont="1" applyBorder="1" applyAlignment="1" applyProtection="1">
      <alignment horizontal="center" vertical="center"/>
    </xf>
    <xf numFmtId="0" fontId="11" fillId="0" borderId="11" xfId="12" applyFont="1" applyBorder="1" applyAlignment="1" applyProtection="1">
      <alignment horizontal="center" vertical="center"/>
    </xf>
    <xf numFmtId="0" fontId="11" fillId="0" borderId="12" xfId="12" applyFont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vertical="center" wrapText="1"/>
    </xf>
    <xf numFmtId="0" fontId="14" fillId="0" borderId="17" xfId="0" applyFont="1" applyBorder="1" applyAlignment="1" applyProtection="1">
      <alignment horizontal="left" vertical="top" wrapText="1"/>
    </xf>
    <xf numFmtId="164" fontId="8" fillId="0" borderId="6" xfId="12" applyNumberFormat="1" applyFont="1" applyBorder="1" applyAlignment="1" applyProtection="1">
      <alignment horizontal="center" vertical="center" wrapText="1"/>
    </xf>
    <xf numFmtId="0" fontId="7" fillId="0" borderId="5" xfId="12" applyFont="1" applyBorder="1" applyAlignment="1" applyProtection="1">
      <alignment horizontal="center" vertical="center" wrapText="1"/>
    </xf>
    <xf numFmtId="0" fontId="7" fillId="0" borderId="6" xfId="12" applyFont="1" applyBorder="1" applyAlignment="1" applyProtection="1">
      <alignment horizontal="center" vertical="center" wrapText="1"/>
    </xf>
    <xf numFmtId="0" fontId="7" fillId="0" borderId="17" xfId="12" applyFont="1" applyBorder="1" applyAlignment="1" applyProtection="1">
      <alignment horizontal="center" vertical="center" wrapText="1"/>
    </xf>
    <xf numFmtId="0" fontId="7" fillId="0" borderId="7" xfId="12" applyFont="1" applyBorder="1" applyAlignment="1" applyProtection="1">
      <alignment horizontal="center" vertical="center" wrapText="1"/>
    </xf>
    <xf numFmtId="0" fontId="12" fillId="0" borderId="24" xfId="0" applyFont="1" applyBorder="1" applyAlignment="1" applyProtection="1">
      <alignment horizontal="center" vertical="top"/>
    </xf>
    <xf numFmtId="164" fontId="14" fillId="0" borderId="17" xfId="0" applyNumberFormat="1" applyFont="1" applyBorder="1" applyAlignment="1" applyProtection="1">
      <alignment horizontal="center" vertical="center" wrapText="1"/>
    </xf>
    <xf numFmtId="164" fontId="18" fillId="0" borderId="17" xfId="0" applyNumberFormat="1" applyFont="1" applyBorder="1" applyAlignment="1" applyProtection="1">
      <alignment horizontal="center" vertical="center" wrapText="1"/>
    </xf>
    <xf numFmtId="0" fontId="4" fillId="0" borderId="6" xfId="12" applyFont="1" applyBorder="1" applyAlignment="1" applyProtection="1"/>
    <xf numFmtId="0" fontId="6" fillId="0" borderId="6" xfId="12" applyFont="1" applyBorder="1" applyAlignment="1" applyProtection="1"/>
    <xf numFmtId="164" fontId="4" fillId="0" borderId="6" xfId="12" applyNumberFormat="1" applyFont="1" applyBorder="1" applyAlignment="1" applyProtection="1"/>
    <xf numFmtId="167" fontId="4" fillId="0" borderId="6" xfId="12" applyNumberFormat="1" applyFont="1" applyBorder="1" applyAlignment="1" applyProtection="1"/>
    <xf numFmtId="164" fontId="15" fillId="0" borderId="6" xfId="12" applyNumberFormat="1" applyFont="1" applyBorder="1" applyAlignment="1" applyProtection="1">
      <alignment vertical="center" wrapText="1"/>
    </xf>
    <xf numFmtId="164" fontId="6" fillId="0" borderId="6" xfId="12" applyNumberFormat="1" applyFont="1" applyBorder="1" applyAlignment="1" applyProtection="1">
      <alignment vertical="center" wrapText="1"/>
    </xf>
    <xf numFmtId="164" fontId="11" fillId="0" borderId="6" xfId="12" applyNumberFormat="1" applyFont="1" applyBorder="1" applyAlignment="1" applyProtection="1">
      <alignment vertical="center" wrapText="1"/>
    </xf>
    <xf numFmtId="0" fontId="0" fillId="0" borderId="14" xfId="0" applyBorder="1" applyAlignment="1" applyProtection="1"/>
    <xf numFmtId="0" fontId="4" fillId="0" borderId="14" xfId="12" applyFont="1" applyBorder="1" applyAlignment="1" applyProtection="1"/>
    <xf numFmtId="0" fontId="6" fillId="0" borderId="14" xfId="12" applyFont="1" applyBorder="1" applyAlignment="1" applyProtection="1"/>
    <xf numFmtId="0" fontId="7" fillId="0" borderId="0" xfId="12" applyFont="1" applyBorder="1" applyAlignment="1" applyProtection="1">
      <alignment horizontal="center"/>
    </xf>
    <xf numFmtId="0" fontId="6" fillId="0" borderId="15" xfId="12" applyFont="1" applyBorder="1" applyAlignment="1" applyProtection="1"/>
    <xf numFmtId="0" fontId="6" fillId="0" borderId="7" xfId="12" applyFont="1" applyBorder="1" applyAlignment="1" applyProtection="1"/>
    <xf numFmtId="0" fontId="15" fillId="0" borderId="7" xfId="12" applyFont="1" applyBorder="1" applyAlignment="1" applyProtection="1">
      <alignment vertical="center" wrapText="1"/>
    </xf>
    <xf numFmtId="0" fontId="6" fillId="0" borderId="7" xfId="12" applyFont="1" applyBorder="1" applyAlignment="1" applyProtection="1">
      <alignment vertical="center" wrapText="1"/>
    </xf>
    <xf numFmtId="164" fontId="15" fillId="0" borderId="7" xfId="12" applyNumberFormat="1" applyFont="1" applyBorder="1" applyAlignment="1" applyProtection="1">
      <alignment vertical="center" wrapText="1"/>
    </xf>
    <xf numFmtId="0" fontId="15" fillId="0" borderId="28" xfId="0" applyFont="1" applyBorder="1" applyAlignment="1" applyProtection="1">
      <alignment horizontal="left" vertical="center" wrapText="1"/>
    </xf>
    <xf numFmtId="0" fontId="0" fillId="0" borderId="10" xfId="0" applyBorder="1" applyAlignment="1" applyProtection="1"/>
    <xf numFmtId="0" fontId="6" fillId="0" borderId="10" xfId="12" applyFont="1" applyBorder="1" applyAlignment="1" applyProtection="1">
      <alignment vertical="center" wrapText="1"/>
    </xf>
    <xf numFmtId="164" fontId="8" fillId="0" borderId="10" xfId="12" applyNumberFormat="1" applyFont="1" applyBorder="1" applyAlignment="1" applyProtection="1">
      <alignment horizontal="center" vertical="center" wrapText="1"/>
    </xf>
    <xf numFmtId="165" fontId="8" fillId="0" borderId="10" xfId="12" applyNumberFormat="1" applyFont="1" applyBorder="1" applyAlignment="1" applyProtection="1">
      <alignment horizontal="center" vertical="center" wrapText="1"/>
    </xf>
    <xf numFmtId="3" fontId="8" fillId="0" borderId="10" xfId="12" applyNumberFormat="1" applyFont="1" applyBorder="1" applyAlignment="1" applyProtection="1">
      <alignment horizontal="center" vertical="center" wrapText="1"/>
    </xf>
    <xf numFmtId="3" fontId="8" fillId="0" borderId="11" xfId="12" applyNumberFormat="1" applyFont="1" applyBorder="1" applyAlignment="1" applyProtection="1">
      <alignment horizontal="center" vertical="center" wrapText="1"/>
    </xf>
    <xf numFmtId="0" fontId="6" fillId="0" borderId="12" xfId="12" applyFont="1" applyBorder="1" applyAlignment="1" applyProtection="1">
      <alignment vertical="center" wrapText="1"/>
    </xf>
    <xf numFmtId="0" fontId="15" fillId="0" borderId="16" xfId="12" applyFont="1" applyFill="1" applyBorder="1" applyAlignment="1" applyProtection="1">
      <alignment horizontal="center" vertical="top" wrapText="1"/>
    </xf>
    <xf numFmtId="0" fontId="15" fillId="0" borderId="6" xfId="12" applyFont="1" applyFill="1" applyBorder="1" applyAlignment="1" applyProtection="1">
      <alignment horizontal="center" vertical="center" wrapText="1"/>
    </xf>
    <xf numFmtId="0" fontId="15" fillId="0" borderId="6" xfId="12" applyFont="1" applyFill="1" applyBorder="1" applyAlignment="1" applyProtection="1"/>
    <xf numFmtId="165" fontId="15" fillId="0" borderId="6" xfId="12" applyNumberFormat="1" applyFont="1" applyFill="1" applyBorder="1" applyAlignment="1" applyProtection="1">
      <alignment horizontal="center" vertical="center" wrapText="1"/>
    </xf>
    <xf numFmtId="164" fontId="15" fillId="0" borderId="6" xfId="12" applyNumberFormat="1" applyFont="1" applyFill="1" applyBorder="1" applyAlignment="1" applyProtection="1">
      <alignment horizontal="center" vertical="center" wrapText="1"/>
    </xf>
    <xf numFmtId="164" fontId="8" fillId="0" borderId="6" xfId="12" applyNumberFormat="1" applyFont="1" applyFill="1" applyBorder="1" applyAlignment="1" applyProtection="1">
      <alignment horizontal="center" vertical="center" wrapText="1"/>
    </xf>
    <xf numFmtId="164" fontId="8" fillId="0" borderId="17" xfId="12" applyNumberFormat="1" applyFont="1" applyFill="1" applyBorder="1" applyAlignment="1" applyProtection="1">
      <alignment horizontal="center" vertical="center" wrapText="1"/>
    </xf>
    <xf numFmtId="0" fontId="8" fillId="0" borderId="6" xfId="12" applyFont="1" applyFill="1" applyBorder="1" applyAlignment="1" applyProtection="1">
      <alignment horizontal="center" vertical="center" wrapText="1"/>
    </xf>
    <xf numFmtId="164" fontId="15" fillId="0" borderId="17" xfId="12" applyNumberFormat="1" applyFont="1" applyFill="1" applyBorder="1" applyAlignment="1" applyProtection="1">
      <alignment horizontal="center" vertical="center" wrapText="1"/>
    </xf>
    <xf numFmtId="166" fontId="15" fillId="0" borderId="6" xfId="11" applyNumberFormat="1" applyFont="1" applyFill="1" applyBorder="1" applyAlignment="1" applyProtection="1">
      <alignment horizontal="center" vertical="center" wrapText="1"/>
    </xf>
    <xf numFmtId="0" fontId="15" fillId="0" borderId="6" xfId="0" applyFont="1" applyFill="1" applyBorder="1" applyAlignment="1" applyProtection="1">
      <alignment horizontal="left" vertical="center" wrapText="1"/>
    </xf>
    <xf numFmtId="0" fontId="8" fillId="0" borderId="16" xfId="12" applyFont="1" applyFill="1" applyBorder="1" applyAlignment="1" applyProtection="1">
      <alignment horizontal="left" vertical="center" wrapText="1"/>
    </xf>
    <xf numFmtId="169" fontId="15" fillId="0" borderId="6" xfId="12" applyNumberFormat="1" applyFont="1" applyFill="1" applyBorder="1" applyAlignment="1" applyProtection="1">
      <alignment horizontal="center" vertical="center" wrapText="1"/>
    </xf>
    <xf numFmtId="169" fontId="8" fillId="0" borderId="6" xfId="12" applyNumberFormat="1" applyFont="1" applyFill="1" applyBorder="1" applyAlignment="1" applyProtection="1">
      <alignment horizontal="center" vertical="center" wrapText="1"/>
    </xf>
    <xf numFmtId="0" fontId="15" fillId="0" borderId="16" xfId="12" applyFont="1" applyFill="1" applyBorder="1" applyAlignment="1" applyProtection="1">
      <alignment horizontal="center" wrapText="1"/>
    </xf>
    <xf numFmtId="170" fontId="15" fillId="0" borderId="6" xfId="11" applyNumberFormat="1" applyFont="1" applyFill="1" applyBorder="1" applyAlignment="1" applyProtection="1">
      <alignment horizontal="center" vertical="center" wrapText="1"/>
    </xf>
    <xf numFmtId="164" fontId="15" fillId="0" borderId="6" xfId="11" applyNumberFormat="1" applyFont="1" applyFill="1" applyBorder="1" applyAlignment="1" applyProtection="1">
      <alignment horizontal="center" vertical="center" wrapText="1"/>
    </xf>
    <xf numFmtId="166" fontId="15" fillId="0" borderId="6" xfId="12" applyNumberFormat="1" applyFont="1" applyFill="1" applyBorder="1" applyAlignment="1" applyProtection="1">
      <alignment horizontal="center" vertical="center" wrapText="1"/>
    </xf>
    <xf numFmtId="4" fontId="15" fillId="0" borderId="6" xfId="12" applyNumberFormat="1" applyFont="1" applyFill="1" applyBorder="1" applyAlignment="1" applyProtection="1">
      <alignment horizontal="center" vertical="center" wrapText="1"/>
    </xf>
    <xf numFmtId="168" fontId="15" fillId="0" borderId="6" xfId="12" applyNumberFormat="1" applyFont="1" applyFill="1" applyBorder="1" applyAlignment="1" applyProtection="1">
      <alignment horizontal="center" vertical="center" wrapText="1"/>
    </xf>
    <xf numFmtId="172" fontId="15" fillId="0" borderId="6" xfId="12" applyNumberFormat="1" applyFont="1" applyFill="1" applyBorder="1" applyAlignment="1" applyProtection="1">
      <alignment horizontal="center" vertical="center" wrapText="1"/>
    </xf>
    <xf numFmtId="0" fontId="15" fillId="0" borderId="16" xfId="12" applyFont="1" applyFill="1" applyBorder="1" applyAlignment="1" applyProtection="1">
      <alignment horizontal="center" vertical="center" wrapText="1"/>
    </xf>
    <xf numFmtId="0" fontId="8" fillId="0" borderId="6" xfId="12" applyFont="1" applyFill="1" applyBorder="1" applyAlignment="1" applyProtection="1">
      <alignment horizontal="left" vertical="center" wrapText="1"/>
    </xf>
    <xf numFmtId="170" fontId="15" fillId="0" borderId="6" xfId="12" applyNumberFormat="1" applyFont="1" applyFill="1" applyBorder="1" applyAlignment="1" applyProtection="1">
      <alignment horizontal="center" vertical="center" wrapText="1"/>
    </xf>
    <xf numFmtId="169" fontId="15" fillId="0" borderId="6" xfId="0" applyNumberFormat="1" applyFont="1" applyFill="1" applyBorder="1" applyAlignment="1" applyProtection="1">
      <alignment horizontal="left" vertical="center" wrapText="1"/>
    </xf>
    <xf numFmtId="166" fontId="8" fillId="0" borderId="6" xfId="12" applyNumberFormat="1" applyFont="1" applyFill="1" applyBorder="1" applyAlignment="1" applyProtection="1">
      <alignment horizontal="center" vertical="center" wrapText="1"/>
    </xf>
    <xf numFmtId="170" fontId="8" fillId="0" borderId="6" xfId="12" applyNumberFormat="1" applyFont="1" applyFill="1" applyBorder="1" applyAlignment="1" applyProtection="1">
      <alignment horizontal="center" vertical="center" wrapText="1"/>
    </xf>
    <xf numFmtId="165" fontId="8" fillId="0" borderId="6" xfId="12" applyNumberFormat="1" applyFont="1" applyFill="1" applyBorder="1" applyAlignment="1" applyProtection="1">
      <alignment horizontal="center" vertical="center" wrapText="1"/>
    </xf>
    <xf numFmtId="0" fontId="9" fillId="0" borderId="6" xfId="12" applyFont="1" applyFill="1" applyBorder="1" applyAlignment="1" applyProtection="1">
      <alignment vertical="center" wrapText="1"/>
    </xf>
    <xf numFmtId="0" fontId="15" fillId="0" borderId="6" xfId="12" applyFont="1" applyFill="1" applyBorder="1" applyAlignment="1" applyProtection="1">
      <alignment vertical="center" wrapText="1"/>
    </xf>
    <xf numFmtId="0" fontId="7" fillId="0" borderId="6" xfId="12" applyFont="1" applyFill="1" applyBorder="1" applyAlignment="1" applyProtection="1">
      <alignment horizontal="left" vertical="center" wrapText="1"/>
    </xf>
    <xf numFmtId="169" fontId="15" fillId="0" borderId="14" xfId="0" applyNumberFormat="1" applyFont="1" applyFill="1" applyBorder="1" applyAlignment="1" applyProtection="1">
      <alignment horizontal="left" vertical="center" wrapText="1"/>
    </xf>
    <xf numFmtId="165" fontId="15" fillId="0" borderId="14" xfId="12" applyNumberFormat="1" applyFont="1" applyFill="1" applyBorder="1" applyAlignment="1" applyProtection="1">
      <alignment horizontal="center" vertical="center" wrapText="1"/>
    </xf>
    <xf numFmtId="0" fontId="8" fillId="0" borderId="17" xfId="10" applyFont="1" applyFill="1" applyBorder="1" applyAlignment="1" applyProtection="1">
      <alignment horizontal="center" vertical="center" wrapText="1"/>
    </xf>
    <xf numFmtId="3" fontId="15" fillId="0" borderId="6" xfId="12" applyNumberFormat="1" applyFont="1" applyFill="1" applyBorder="1" applyAlignment="1" applyProtection="1">
      <alignment horizontal="center" vertical="center" wrapText="1"/>
    </xf>
    <xf numFmtId="3" fontId="15" fillId="0" borderId="17" xfId="12" applyNumberFormat="1" applyFont="1" applyFill="1" applyBorder="1" applyAlignment="1" applyProtection="1">
      <alignment horizontal="center" vertical="center" wrapText="1"/>
    </xf>
    <xf numFmtId="168" fontId="8" fillId="0" borderId="6" xfId="12" applyNumberFormat="1" applyFont="1" applyFill="1" applyBorder="1" applyAlignment="1" applyProtection="1">
      <alignment horizontal="center" vertical="center" wrapText="1"/>
    </xf>
    <xf numFmtId="168" fontId="8" fillId="0" borderId="17" xfId="12" applyNumberFormat="1" applyFont="1" applyFill="1" applyBorder="1" applyAlignment="1" applyProtection="1">
      <alignment horizontal="center" vertical="center" wrapText="1"/>
    </xf>
    <xf numFmtId="0" fontId="8" fillId="0" borderId="16" xfId="12" applyFont="1" applyFill="1" applyBorder="1" applyAlignment="1" applyProtection="1">
      <alignment horizontal="center" wrapText="1"/>
    </xf>
    <xf numFmtId="0" fontId="7" fillId="0" borderId="16" xfId="12" applyFont="1" applyFill="1" applyBorder="1" applyAlignment="1" applyProtection="1">
      <alignment horizontal="center" vertical="top" wrapText="1"/>
    </xf>
    <xf numFmtId="0" fontId="13" fillId="0" borderId="6" xfId="0" applyFont="1" applyFill="1" applyBorder="1" applyAlignment="1" applyProtection="1">
      <alignment vertical="center" wrapText="1"/>
    </xf>
    <xf numFmtId="164" fontId="14" fillId="0" borderId="6" xfId="0" applyNumberFormat="1" applyFont="1" applyFill="1" applyBorder="1" applyAlignment="1" applyProtection="1">
      <alignment horizontal="left" vertical="top" wrapText="1"/>
    </xf>
    <xf numFmtId="0" fontId="14" fillId="0" borderId="6" xfId="0" applyFont="1" applyFill="1" applyBorder="1" applyAlignment="1" applyProtection="1">
      <alignment horizontal="left" vertical="top" wrapText="1"/>
    </xf>
    <xf numFmtId="164" fontId="14" fillId="0" borderId="6" xfId="0" applyNumberFormat="1" applyFont="1" applyFill="1" applyBorder="1" applyAlignment="1" applyProtection="1">
      <alignment horizontal="center" vertical="center" wrapText="1"/>
    </xf>
    <xf numFmtId="4" fontId="14" fillId="0" borderId="6" xfId="0" applyNumberFormat="1" applyFont="1" applyFill="1" applyBorder="1" applyAlignment="1" applyProtection="1">
      <alignment horizontal="center" vertical="center" wrapText="1"/>
    </xf>
    <xf numFmtId="0" fontId="7" fillId="0" borderId="16" xfId="12" applyFont="1" applyFill="1" applyBorder="1" applyAlignment="1" applyProtection="1">
      <alignment horizontal="center" wrapText="1"/>
    </xf>
    <xf numFmtId="0" fontId="18" fillId="0" borderId="6" xfId="0" applyFont="1" applyFill="1" applyBorder="1" applyAlignment="1" applyProtection="1">
      <alignment vertical="center" wrapText="1"/>
    </xf>
    <xf numFmtId="0" fontId="14" fillId="0" borderId="17" xfId="0" applyFont="1" applyFill="1" applyBorder="1" applyAlignment="1" applyProtection="1">
      <alignment horizontal="left" vertical="top" wrapText="1"/>
    </xf>
    <xf numFmtId="0" fontId="16" fillId="0" borderId="6" xfId="0" applyFont="1" applyFill="1" applyBorder="1" applyAlignment="1" applyProtection="1">
      <alignment vertical="center" wrapText="1"/>
    </xf>
    <xf numFmtId="164" fontId="18" fillId="0" borderId="6" xfId="0" applyNumberFormat="1" applyFont="1" applyFill="1" applyBorder="1" applyAlignment="1" applyProtection="1">
      <alignment horizontal="center" vertical="center" wrapText="1"/>
    </xf>
    <xf numFmtId="0" fontId="14" fillId="0" borderId="6" xfId="0" applyFont="1" applyFill="1" applyBorder="1" applyAlignment="1" applyProtection="1">
      <alignment horizontal="center" vertical="center" wrapText="1"/>
    </xf>
    <xf numFmtId="3" fontId="8" fillId="0" borderId="6" xfId="12" applyNumberFormat="1" applyFont="1" applyFill="1" applyBorder="1" applyAlignment="1" applyProtection="1">
      <alignment horizontal="center" vertical="center" wrapText="1"/>
    </xf>
    <xf numFmtId="0" fontId="15" fillId="0" borderId="19" xfId="12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/>
    <xf numFmtId="3" fontId="8" fillId="0" borderId="17" xfId="12" applyNumberFormat="1" applyFont="1" applyFill="1" applyBorder="1" applyAlignment="1" applyProtection="1">
      <alignment horizontal="center" vertical="center" wrapText="1"/>
    </xf>
    <xf numFmtId="164" fontId="17" fillId="0" borderId="17" xfId="12" applyNumberFormat="1" applyFont="1" applyFill="1" applyBorder="1" applyAlignment="1" applyProtection="1">
      <alignment horizontal="center" vertical="center"/>
    </xf>
    <xf numFmtId="0" fontId="15" fillId="0" borderId="18" xfId="0" applyFont="1" applyFill="1" applyBorder="1" applyAlignment="1" applyProtection="1">
      <alignment horizontal="left" vertical="center" wrapText="1"/>
    </xf>
    <xf numFmtId="0" fontId="6" fillId="0" borderId="6" xfId="12" applyFont="1" applyFill="1" applyBorder="1" applyAlignment="1" applyProtection="1">
      <alignment vertical="center" wrapText="1"/>
    </xf>
    <xf numFmtId="173" fontId="15" fillId="0" borderId="0" xfId="12" applyNumberFormat="1" applyFont="1" applyAlignment="1" applyProtection="1">
      <alignment vertical="center" wrapText="1"/>
    </xf>
    <xf numFmtId="0" fontId="7" fillId="0" borderId="0" xfId="12" applyFont="1" applyBorder="1" applyAlignment="1" applyProtection="1">
      <alignment horizontal="center" vertical="center" wrapText="1"/>
    </xf>
    <xf numFmtId="0" fontId="7" fillId="0" borderId="7" xfId="12" applyFont="1" applyBorder="1" applyAlignment="1" applyProtection="1">
      <alignment horizontal="center" vertical="center"/>
    </xf>
    <xf numFmtId="0" fontId="7" fillId="0" borderId="17" xfId="12" applyFont="1" applyBorder="1" applyAlignment="1" applyProtection="1">
      <alignment horizontal="center" vertical="center" wrapText="1"/>
    </xf>
    <xf numFmtId="0" fontId="7" fillId="0" borderId="18" xfId="12" applyFont="1" applyBorder="1" applyAlignment="1" applyProtection="1">
      <alignment horizontal="center" vertical="center" wrapText="1"/>
    </xf>
    <xf numFmtId="0" fontId="7" fillId="0" borderId="8" xfId="12" applyFont="1" applyBorder="1" applyAlignment="1" applyProtection="1">
      <alignment horizontal="center" vertical="center" wrapText="1"/>
    </xf>
    <xf numFmtId="0" fontId="7" fillId="0" borderId="7" xfId="12" applyFont="1" applyBorder="1" applyAlignment="1" applyProtection="1">
      <alignment horizontal="center" vertical="center" wrapText="1"/>
    </xf>
    <xf numFmtId="0" fontId="7" fillId="0" borderId="4" xfId="12" applyFont="1" applyBorder="1" applyAlignment="1" applyProtection="1">
      <alignment horizontal="center" vertical="center"/>
    </xf>
    <xf numFmtId="0" fontId="7" fillId="0" borderId="25" xfId="12" applyFont="1" applyBorder="1" applyAlignment="1" applyProtection="1">
      <alignment horizontal="center" vertical="center"/>
    </xf>
    <xf numFmtId="0" fontId="7" fillId="0" borderId="26" xfId="12" applyFont="1" applyBorder="1" applyAlignment="1" applyProtection="1">
      <alignment horizontal="center" vertical="center"/>
    </xf>
    <xf numFmtId="0" fontId="7" fillId="0" borderId="27" xfId="12" applyFont="1" applyBorder="1" applyAlignment="1" applyProtection="1">
      <alignment horizontal="center" vertical="center"/>
    </xf>
    <xf numFmtId="0" fontId="10" fillId="0" borderId="0" xfId="12" applyFont="1" applyBorder="1" applyAlignment="1" applyProtection="1">
      <alignment horizontal="center" vertical="center"/>
    </xf>
    <xf numFmtId="0" fontId="7" fillId="0" borderId="16" xfId="12" applyFont="1" applyFill="1" applyBorder="1" applyAlignment="1" applyProtection="1">
      <alignment horizontal="center" vertical="center" wrapText="1"/>
    </xf>
    <xf numFmtId="0" fontId="8" fillId="0" borderId="6" xfId="12" applyFont="1" applyFill="1" applyBorder="1" applyAlignment="1" applyProtection="1">
      <alignment horizontal="center" vertical="center" wrapText="1"/>
    </xf>
    <xf numFmtId="0" fontId="7" fillId="0" borderId="16" xfId="12" applyFont="1" applyFill="1" applyBorder="1" applyAlignment="1" applyProtection="1">
      <alignment horizontal="left" vertical="center" wrapText="1"/>
    </xf>
    <xf numFmtId="0" fontId="8" fillId="0" borderId="21" xfId="12" applyFont="1" applyBorder="1" applyAlignment="1" applyProtection="1">
      <alignment horizontal="left" vertical="center" wrapText="1"/>
    </xf>
    <xf numFmtId="0" fontId="8" fillId="0" borderId="16" xfId="12" applyFont="1" applyFill="1" applyBorder="1" applyAlignment="1" applyProtection="1">
      <alignment horizontal="center" vertical="center" wrapText="1"/>
    </xf>
    <xf numFmtId="0" fontId="7" fillId="0" borderId="19" xfId="12" applyFont="1" applyFill="1" applyBorder="1" applyAlignment="1" applyProtection="1">
      <alignment horizontal="center" vertical="center" wrapText="1"/>
    </xf>
    <xf numFmtId="0" fontId="7" fillId="0" borderId="18" xfId="12" applyFont="1" applyFill="1" applyBorder="1" applyAlignment="1" applyProtection="1">
      <alignment horizontal="center" vertical="center" wrapText="1"/>
    </xf>
    <xf numFmtId="0" fontId="8" fillId="0" borderId="16" xfId="12" applyFont="1" applyFill="1" applyBorder="1" applyAlignment="1" applyProtection="1">
      <alignment horizontal="left" vertical="center" wrapText="1"/>
    </xf>
    <xf numFmtId="0" fontId="14" fillId="0" borderId="17" xfId="0" applyFont="1" applyFill="1" applyBorder="1" applyAlignment="1" applyProtection="1">
      <alignment horizontal="left" vertical="top" wrapText="1"/>
    </xf>
    <xf numFmtId="0" fontId="7" fillId="0" borderId="16" xfId="10" applyFont="1" applyFill="1" applyBorder="1" applyAlignment="1" applyProtection="1">
      <alignment horizontal="center" vertical="center" wrapText="1"/>
    </xf>
    <xf numFmtId="0" fontId="7" fillId="0" borderId="20" xfId="12" applyFont="1" applyFill="1" applyBorder="1" applyAlignment="1" applyProtection="1">
      <alignment horizontal="center" vertical="center" wrapText="1"/>
    </xf>
    <xf numFmtId="164" fontId="8" fillId="0" borderId="6" xfId="12" applyNumberFormat="1" applyFont="1" applyFill="1" applyBorder="1" applyAlignment="1" applyProtection="1">
      <alignment horizontal="center" vertical="center" wrapText="1"/>
    </xf>
    <xf numFmtId="49" fontId="7" fillId="0" borderId="3" xfId="9" applyNumberFormat="1" applyFont="1" applyBorder="1" applyAlignment="1" applyProtection="1">
      <alignment horizontal="center" vertical="center" wrapText="1"/>
    </xf>
    <xf numFmtId="49" fontId="8" fillId="0" borderId="4" xfId="9" applyNumberFormat="1" applyFont="1" applyBorder="1" applyAlignment="1" applyProtection="1">
      <alignment horizontal="center" vertical="center" wrapText="1"/>
    </xf>
    <xf numFmtId="0" fontId="7" fillId="0" borderId="6" xfId="12" applyFont="1" applyBorder="1" applyAlignment="1" applyProtection="1">
      <alignment horizontal="center" vertical="center"/>
    </xf>
    <xf numFmtId="0" fontId="7" fillId="0" borderId="17" xfId="12" applyFont="1" applyBorder="1" applyAlignment="1" applyProtection="1">
      <alignment horizontal="center" vertical="center"/>
    </xf>
    <xf numFmtId="0" fontId="7" fillId="0" borderId="16" xfId="12" applyFont="1" applyBorder="1" applyAlignment="1" applyProtection="1">
      <alignment horizontal="center" vertical="center" wrapText="1"/>
    </xf>
    <xf numFmtId="0" fontId="7" fillId="0" borderId="5" xfId="12" applyFont="1" applyBorder="1" applyAlignment="1" applyProtection="1">
      <alignment horizontal="center" vertical="center" wrapText="1"/>
    </xf>
    <xf numFmtId="0" fontId="7" fillId="0" borderId="6" xfId="12" applyFont="1" applyBorder="1" applyAlignment="1" applyProtection="1">
      <alignment horizontal="center" vertical="center" wrapText="1"/>
    </xf>
    <xf numFmtId="0" fontId="12" fillId="0" borderId="13" xfId="0" applyFont="1" applyBorder="1" applyAlignment="1" applyProtection="1">
      <alignment horizontal="center" vertical="top"/>
    </xf>
    <xf numFmtId="0" fontId="13" fillId="0" borderId="17" xfId="0" applyFont="1" applyBorder="1" applyAlignment="1" applyProtection="1">
      <alignment horizontal="left" vertical="top" wrapText="1"/>
    </xf>
    <xf numFmtId="0" fontId="13" fillId="0" borderId="18" xfId="0" applyFont="1" applyBorder="1" applyAlignment="1" applyProtection="1">
      <alignment horizontal="left" vertical="top" wrapText="1"/>
    </xf>
    <xf numFmtId="49" fontId="7" fillId="0" borderId="2" xfId="9" applyNumberFormat="1" applyFont="1" applyBorder="1" applyAlignment="1" applyProtection="1">
      <alignment horizontal="center" vertical="center" wrapText="1"/>
    </xf>
  </cellXfs>
  <cellStyles count="14">
    <cellStyle name="Обычный" xfId="0" builtinId="0"/>
    <cellStyle name="Обычный 13" xfId="1"/>
    <cellStyle name="Обычный 13 2" xfId="2"/>
    <cellStyle name="Обычный 14" xfId="3"/>
    <cellStyle name="Обычный 14 2" xfId="4"/>
    <cellStyle name="Обычный 2" xfId="13"/>
    <cellStyle name="Обычный 21_СВОД по районам" xfId="5"/>
    <cellStyle name="Обычный 3" xfId="6"/>
    <cellStyle name="Обычный 4" xfId="7"/>
    <cellStyle name="Обычный 5" xfId="8"/>
    <cellStyle name="Обычный_3-РЕМОНТ_МОСТОВ на 2011год" xfId="9"/>
    <cellStyle name="Обычный_ВЫПОЛНЕНИЕ программы ИЖС-2010 год" xfId="10"/>
    <cellStyle name="Обычный_мероприятия (приложение 2 к 139-пп)" xfId="11"/>
    <cellStyle name="Стиль 1" xfId="1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04.12.204%20&#1073;&#1102;&#1076;&#1078;%2025-27%202&#1095;&#1090;%20&#1091;&#1090;&#1086;&#1095;&#1095;&#1095;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4.1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O416"/>
  <sheetViews>
    <sheetView tabSelected="1" view="pageBreakPreview" zoomScale="60" zoomScaleNormal="75" zoomScalePageLayoutView="72" workbookViewId="0">
      <pane xSplit="3" ySplit="9" topLeftCell="E68" activePane="bottomRight" state="frozen"/>
      <selection pane="topRight" activeCell="D1" sqref="D1"/>
      <selection pane="bottomLeft" activeCell="A164" sqref="A164"/>
      <selection pane="bottomRight" activeCell="B5" sqref="B5:B8"/>
    </sheetView>
  </sheetViews>
  <sheetFormatPr defaultColWidth="9.140625" defaultRowHeight="16.5"/>
  <cols>
    <col min="1" max="1" width="7.140625" style="1" customWidth="1"/>
    <col min="2" max="2" width="58.85546875" style="2" customWidth="1"/>
    <col min="3" max="3" width="13.7109375" style="2" customWidth="1"/>
    <col min="4" max="4" width="18.5703125" style="2" hidden="1" customWidth="1"/>
    <col min="5" max="5" width="13.42578125" style="2" customWidth="1"/>
    <col min="6" max="6" width="14.7109375" style="2" customWidth="1"/>
    <col min="7" max="7" width="22" style="2" customWidth="1"/>
    <col min="8" max="8" width="11.28515625" style="2" hidden="1" customWidth="1"/>
    <col min="9" max="9" width="11.85546875" style="2" hidden="1" customWidth="1"/>
    <col min="10" max="10" width="19" style="2" hidden="1" customWidth="1"/>
    <col min="11" max="11" width="21" style="2" hidden="1" customWidth="1"/>
    <col min="12" max="12" width="18.140625" style="2" hidden="1" customWidth="1"/>
    <col min="13" max="13" width="18.5703125" style="2" hidden="1" customWidth="1"/>
    <col min="14" max="14" width="12.28515625" style="2" customWidth="1"/>
    <col min="15" max="15" width="12" style="2" customWidth="1"/>
    <col min="16" max="16" width="19.28515625" style="2" customWidth="1"/>
    <col min="17" max="17" width="18.28515625" style="2" customWidth="1"/>
    <col min="18" max="18" width="18.42578125" style="2" customWidth="1"/>
    <col min="19" max="19" width="17.140625" style="2" customWidth="1"/>
    <col min="20" max="20" width="11.5703125" style="2" customWidth="1"/>
    <col min="21" max="21" width="10" style="2" customWidth="1"/>
    <col min="22" max="22" width="19.85546875" style="2" customWidth="1"/>
    <col min="23" max="23" width="17.28515625" style="2" customWidth="1"/>
    <col min="24" max="24" width="15.5703125" style="2" customWidth="1"/>
    <col min="25" max="25" width="9.7109375" style="2" customWidth="1"/>
    <col min="26" max="26" width="10.28515625" style="2" customWidth="1"/>
    <col min="27" max="27" width="18.7109375" style="2" customWidth="1"/>
    <col min="28" max="28" width="17.7109375" style="2" customWidth="1"/>
    <col min="29" max="29" width="15.5703125" style="2" customWidth="1"/>
    <col min="30" max="30" width="21.28515625" style="2" customWidth="1"/>
    <col min="31" max="31" width="21.7109375" style="2" customWidth="1"/>
    <col min="32" max="32" width="19" style="2" customWidth="1"/>
    <col min="33" max="39" width="9.140625" style="2"/>
    <col min="40" max="40" width="10.28515625" style="2" customWidth="1"/>
    <col min="41" max="41" width="19.5703125" style="2" customWidth="1"/>
    <col min="42" max="16384" width="9.140625" style="2"/>
  </cols>
  <sheetData>
    <row r="1" spans="1:35" s="4" customFormat="1" ht="102.75" customHeight="1">
      <c r="A1" s="3"/>
      <c r="G1" s="5"/>
      <c r="H1" s="6"/>
      <c r="I1" s="7"/>
      <c r="J1" s="7"/>
      <c r="K1" s="7"/>
      <c r="L1" s="7"/>
      <c r="M1" s="7"/>
      <c r="S1" s="10"/>
      <c r="U1" s="86"/>
      <c r="V1" s="86"/>
      <c r="W1" s="159" t="s">
        <v>174</v>
      </c>
      <c r="X1" s="159"/>
      <c r="Y1" s="159"/>
      <c r="Z1" s="159"/>
      <c r="AA1" s="159"/>
      <c r="AB1" s="159"/>
      <c r="AC1" s="159"/>
    </row>
    <row r="2" spans="1:35" s="4" customFormat="1" ht="19.5" customHeight="1">
      <c r="A2" s="3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86"/>
      <c r="T2" s="86"/>
      <c r="U2" s="86"/>
      <c r="V2" s="86"/>
      <c r="X2" s="86"/>
      <c r="Y2" s="9"/>
      <c r="Z2" s="9"/>
      <c r="AA2" s="10"/>
      <c r="AB2" s="10"/>
      <c r="AC2" s="10"/>
    </row>
    <row r="3" spans="1:35" s="4" customFormat="1" ht="36.75" customHeight="1">
      <c r="A3" s="169" t="s">
        <v>175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</row>
    <row r="4" spans="1:35" s="4" customFormat="1" ht="28.5" customHeight="1" thickBot="1">
      <c r="A4" s="3"/>
      <c r="T4" s="36"/>
      <c r="U4" s="36"/>
      <c r="V4" s="36"/>
      <c r="W4" s="36"/>
      <c r="X4" s="36"/>
      <c r="Y4" s="8"/>
      <c r="Z4" s="8"/>
    </row>
    <row r="5" spans="1:35" s="4" customFormat="1" ht="34.5" customHeight="1" thickBot="1">
      <c r="A5" s="192" t="s">
        <v>0</v>
      </c>
      <c r="B5" s="182" t="s">
        <v>1</v>
      </c>
      <c r="C5" s="182" t="s">
        <v>2</v>
      </c>
      <c r="D5" s="183" t="s">
        <v>3</v>
      </c>
      <c r="E5" s="165" t="s">
        <v>4</v>
      </c>
      <c r="F5" s="165"/>
      <c r="G5" s="165"/>
      <c r="H5" s="165"/>
      <c r="I5" s="165"/>
      <c r="J5" s="165"/>
      <c r="K5" s="165"/>
      <c r="L5" s="165"/>
      <c r="M5" s="165"/>
      <c r="N5" s="166" t="s">
        <v>5</v>
      </c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8"/>
      <c r="AD5" s="10"/>
      <c r="AE5" s="10"/>
      <c r="AF5" s="10"/>
      <c r="AG5" s="10"/>
      <c r="AH5" s="10"/>
      <c r="AI5" s="10"/>
    </row>
    <row r="6" spans="1:35" s="4" customFormat="1" ht="29.25" customHeight="1" thickBot="1">
      <c r="A6" s="192"/>
      <c r="B6" s="182"/>
      <c r="C6" s="182"/>
      <c r="D6" s="182"/>
      <c r="E6" s="165"/>
      <c r="F6" s="165"/>
      <c r="G6" s="165"/>
      <c r="H6" s="184" t="s">
        <v>8</v>
      </c>
      <c r="I6" s="184"/>
      <c r="J6" s="184"/>
      <c r="K6" s="184"/>
      <c r="L6" s="184"/>
      <c r="M6" s="184"/>
      <c r="N6" s="184" t="s">
        <v>9</v>
      </c>
      <c r="O6" s="184"/>
      <c r="P6" s="184"/>
      <c r="Q6" s="184"/>
      <c r="R6" s="184"/>
      <c r="S6" s="184"/>
      <c r="T6" s="160" t="s">
        <v>10</v>
      </c>
      <c r="U6" s="160"/>
      <c r="V6" s="160"/>
      <c r="W6" s="160"/>
      <c r="X6" s="185"/>
      <c r="Y6" s="160">
        <v>2027</v>
      </c>
      <c r="Z6" s="160"/>
      <c r="AA6" s="160"/>
      <c r="AB6" s="160"/>
      <c r="AC6" s="160"/>
      <c r="AD6" s="10"/>
      <c r="AE6" s="10"/>
      <c r="AF6" s="10"/>
      <c r="AG6" s="10"/>
      <c r="AH6" s="10"/>
      <c r="AI6" s="10"/>
    </row>
    <row r="7" spans="1:35" s="4" customFormat="1" ht="45.75" customHeight="1" thickBot="1">
      <c r="A7" s="192"/>
      <c r="B7" s="182"/>
      <c r="C7" s="182"/>
      <c r="D7" s="182"/>
      <c r="E7" s="184" t="s">
        <v>11</v>
      </c>
      <c r="F7" s="184"/>
      <c r="G7" s="187" t="s">
        <v>12</v>
      </c>
      <c r="H7" s="161" t="s">
        <v>162</v>
      </c>
      <c r="I7" s="162"/>
      <c r="J7" s="187" t="s">
        <v>7</v>
      </c>
      <c r="K7" s="188" t="s">
        <v>13</v>
      </c>
      <c r="L7" s="188"/>
      <c r="M7" s="188"/>
      <c r="N7" s="161" t="s">
        <v>162</v>
      </c>
      <c r="O7" s="162"/>
      <c r="P7" s="187" t="s">
        <v>7</v>
      </c>
      <c r="Q7" s="188" t="s">
        <v>13</v>
      </c>
      <c r="R7" s="188"/>
      <c r="S7" s="188"/>
      <c r="T7" s="161" t="s">
        <v>162</v>
      </c>
      <c r="U7" s="162"/>
      <c r="V7" s="163" t="s">
        <v>7</v>
      </c>
      <c r="W7" s="164" t="s">
        <v>13</v>
      </c>
      <c r="X7" s="161"/>
      <c r="Y7" s="161" t="s">
        <v>162</v>
      </c>
      <c r="Z7" s="162"/>
      <c r="AA7" s="163" t="s">
        <v>7</v>
      </c>
      <c r="AB7" s="164" t="s">
        <v>13</v>
      </c>
      <c r="AC7" s="164"/>
      <c r="AD7" s="10"/>
      <c r="AE7" s="10"/>
      <c r="AF7" s="10"/>
      <c r="AG7" s="10"/>
      <c r="AH7" s="10"/>
      <c r="AI7" s="10"/>
    </row>
    <row r="8" spans="1:35" s="4" customFormat="1" ht="77.25" customHeight="1">
      <c r="A8" s="192"/>
      <c r="B8" s="182"/>
      <c r="C8" s="182"/>
      <c r="D8" s="183"/>
      <c r="E8" s="11" t="s">
        <v>6</v>
      </c>
      <c r="F8" s="11" t="s">
        <v>14</v>
      </c>
      <c r="G8" s="187"/>
      <c r="H8" s="11" t="s">
        <v>6</v>
      </c>
      <c r="I8" s="11" t="s">
        <v>14</v>
      </c>
      <c r="J8" s="187"/>
      <c r="K8" s="70" t="s">
        <v>16</v>
      </c>
      <c r="L8" s="70" t="s">
        <v>15</v>
      </c>
      <c r="M8" s="69" t="s">
        <v>164</v>
      </c>
      <c r="N8" s="11" t="s">
        <v>6</v>
      </c>
      <c r="O8" s="11" t="s">
        <v>14</v>
      </c>
      <c r="P8" s="187"/>
      <c r="Q8" s="70" t="s">
        <v>16</v>
      </c>
      <c r="R8" s="70" t="s">
        <v>15</v>
      </c>
      <c r="S8" s="69" t="s">
        <v>164</v>
      </c>
      <c r="T8" s="11" t="s">
        <v>6</v>
      </c>
      <c r="U8" s="11" t="s">
        <v>14</v>
      </c>
      <c r="V8" s="163"/>
      <c r="W8" s="70" t="s">
        <v>16</v>
      </c>
      <c r="X8" s="71" t="s">
        <v>163</v>
      </c>
      <c r="Y8" s="11" t="s">
        <v>6</v>
      </c>
      <c r="Z8" s="11" t="s">
        <v>14</v>
      </c>
      <c r="AA8" s="163"/>
      <c r="AB8" s="70" t="s">
        <v>16</v>
      </c>
      <c r="AC8" s="72" t="s">
        <v>163</v>
      </c>
      <c r="AD8" s="10"/>
      <c r="AE8" s="10"/>
      <c r="AF8" s="10"/>
      <c r="AG8" s="10"/>
      <c r="AH8" s="10"/>
      <c r="AI8" s="10"/>
    </row>
    <row r="9" spans="1:35" s="4" customFormat="1" ht="23.25" customHeight="1" thickBot="1">
      <c r="A9" s="62">
        <v>1</v>
      </c>
      <c r="B9" s="63">
        <v>2</v>
      </c>
      <c r="C9" s="63">
        <v>3</v>
      </c>
      <c r="D9" s="12"/>
      <c r="E9" s="63">
        <v>4</v>
      </c>
      <c r="F9" s="63">
        <v>5</v>
      </c>
      <c r="G9" s="63">
        <v>6</v>
      </c>
      <c r="H9" s="63">
        <v>7</v>
      </c>
      <c r="I9" s="63">
        <v>8</v>
      </c>
      <c r="J9" s="63">
        <v>9</v>
      </c>
      <c r="K9" s="63">
        <v>10</v>
      </c>
      <c r="L9" s="63">
        <v>11</v>
      </c>
      <c r="M9" s="63">
        <v>12</v>
      </c>
      <c r="N9" s="63">
        <v>7</v>
      </c>
      <c r="O9" s="63">
        <v>8</v>
      </c>
      <c r="P9" s="63">
        <v>9</v>
      </c>
      <c r="Q9" s="63">
        <v>10</v>
      </c>
      <c r="R9" s="63">
        <v>11</v>
      </c>
      <c r="S9" s="63">
        <v>12</v>
      </c>
      <c r="T9" s="63">
        <v>13</v>
      </c>
      <c r="U9" s="63">
        <v>14</v>
      </c>
      <c r="V9" s="64">
        <v>15</v>
      </c>
      <c r="W9" s="63">
        <v>16</v>
      </c>
      <c r="X9" s="64">
        <v>17</v>
      </c>
      <c r="Y9" s="63">
        <v>18</v>
      </c>
      <c r="Z9" s="63">
        <v>19</v>
      </c>
      <c r="AA9" s="64">
        <v>20</v>
      </c>
      <c r="AB9" s="63">
        <v>21</v>
      </c>
      <c r="AC9" s="65">
        <v>22</v>
      </c>
      <c r="AD9" s="10"/>
      <c r="AE9" s="10"/>
      <c r="AF9" s="10"/>
      <c r="AG9" s="10"/>
      <c r="AH9" s="10"/>
      <c r="AI9" s="10"/>
    </row>
    <row r="10" spans="1:35" s="4" customFormat="1" ht="33" customHeight="1">
      <c r="A10" s="189" t="s">
        <v>17</v>
      </c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89"/>
      <c r="W10" s="13"/>
      <c r="X10" s="73"/>
      <c r="Y10" s="83"/>
      <c r="Z10" s="84"/>
      <c r="AA10" s="85"/>
      <c r="AB10" s="85"/>
      <c r="AC10" s="87"/>
      <c r="AD10" s="10"/>
      <c r="AE10" s="10"/>
      <c r="AF10" s="10"/>
      <c r="AG10" s="10"/>
      <c r="AH10" s="10"/>
      <c r="AI10" s="10"/>
    </row>
    <row r="11" spans="1:35" s="4" customFormat="1" ht="33" customHeight="1">
      <c r="A11" s="14" t="s">
        <v>18</v>
      </c>
      <c r="B11" s="190" t="s">
        <v>19</v>
      </c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  <c r="V11" s="190"/>
      <c r="W11" s="15"/>
      <c r="X11" s="67"/>
      <c r="Y11" s="24"/>
      <c r="Z11" s="76"/>
      <c r="AA11" s="77"/>
      <c r="AB11" s="77"/>
      <c r="AC11" s="88"/>
      <c r="AD11" s="10"/>
      <c r="AE11" s="10"/>
      <c r="AF11" s="10"/>
      <c r="AG11" s="10"/>
      <c r="AH11" s="10"/>
      <c r="AI11" s="10"/>
    </row>
    <row r="12" spans="1:35" s="4" customFormat="1" ht="31.5" customHeight="1">
      <c r="A12" s="14">
        <v>1</v>
      </c>
      <c r="B12" s="190" t="s">
        <v>20</v>
      </c>
      <c r="C12" s="191"/>
      <c r="D12" s="15"/>
      <c r="E12" s="68">
        <f>E16</f>
        <v>2.8</v>
      </c>
      <c r="F12" s="68"/>
      <c r="G12" s="68">
        <f>G16</f>
        <v>196807.1</v>
      </c>
      <c r="H12" s="68">
        <f>H14</f>
        <v>2.5</v>
      </c>
      <c r="I12" s="68"/>
      <c r="J12" s="68">
        <f>J14</f>
        <v>174477.09239999999</v>
      </c>
      <c r="K12" s="15"/>
      <c r="L12" s="68">
        <f>L14</f>
        <v>174477.09239999999</v>
      </c>
      <c r="M12" s="15"/>
      <c r="N12" s="68">
        <f>N16</f>
        <v>2.8</v>
      </c>
      <c r="O12" s="68"/>
      <c r="P12" s="68">
        <f>P16</f>
        <v>196807.1</v>
      </c>
      <c r="Q12" s="15"/>
      <c r="R12" s="68">
        <f>R16</f>
        <v>196807.1</v>
      </c>
      <c r="S12" s="15"/>
      <c r="T12" s="68"/>
      <c r="U12" s="68"/>
      <c r="V12" s="68"/>
      <c r="W12" s="68"/>
      <c r="X12" s="34"/>
      <c r="Y12" s="24"/>
      <c r="Z12" s="76"/>
      <c r="AA12" s="77"/>
      <c r="AB12" s="77"/>
      <c r="AC12" s="88"/>
      <c r="AD12" s="10"/>
      <c r="AE12" s="10"/>
      <c r="AF12" s="10"/>
      <c r="AG12" s="10"/>
      <c r="AH12" s="10"/>
      <c r="AI12" s="10"/>
    </row>
    <row r="13" spans="1:35" s="4" customFormat="1" ht="26.25" hidden="1" customHeight="1">
      <c r="A13" s="186" t="s">
        <v>21</v>
      </c>
      <c r="B13" s="186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67"/>
      <c r="W13" s="15"/>
      <c r="X13" s="67"/>
      <c r="Y13" s="24"/>
      <c r="Z13" s="76"/>
      <c r="AA13" s="77"/>
      <c r="AB13" s="77"/>
      <c r="AC13" s="88"/>
      <c r="AD13" s="10"/>
      <c r="AE13" s="10"/>
      <c r="AF13" s="10"/>
      <c r="AG13" s="10"/>
      <c r="AH13" s="10"/>
      <c r="AI13" s="10"/>
    </row>
    <row r="14" spans="1:35" s="4" customFormat="1" ht="30.75" hidden="1" customHeight="1">
      <c r="A14" s="18">
        <v>1</v>
      </c>
      <c r="B14" s="19" t="s">
        <v>22</v>
      </c>
      <c r="C14" s="19" t="s">
        <v>23</v>
      </c>
      <c r="D14" s="15"/>
      <c r="E14" s="20">
        <v>2.5</v>
      </c>
      <c r="F14" s="20"/>
      <c r="G14" s="21">
        <v>174477.09239999999</v>
      </c>
      <c r="H14" s="20">
        <f>E14</f>
        <v>2.5</v>
      </c>
      <c r="I14" s="20"/>
      <c r="J14" s="21">
        <f>G14</f>
        <v>174477.09239999999</v>
      </c>
      <c r="K14" s="15"/>
      <c r="L14" s="21">
        <f>J14</f>
        <v>174477.09239999999</v>
      </c>
      <c r="M14" s="15"/>
      <c r="N14" s="15"/>
      <c r="O14" s="15"/>
      <c r="P14" s="15"/>
      <c r="Q14" s="15"/>
      <c r="R14" s="15"/>
      <c r="S14" s="15"/>
      <c r="T14" s="15"/>
      <c r="U14" s="15"/>
      <c r="V14" s="67"/>
      <c r="W14" s="15"/>
      <c r="X14" s="67"/>
      <c r="Y14" s="24"/>
      <c r="Z14" s="76"/>
      <c r="AA14" s="77"/>
      <c r="AB14" s="77"/>
      <c r="AC14" s="88"/>
      <c r="AD14" s="10"/>
      <c r="AE14" s="10"/>
      <c r="AF14" s="10"/>
      <c r="AG14" s="10"/>
      <c r="AH14" s="10"/>
      <c r="AI14" s="10"/>
    </row>
    <row r="15" spans="1:35" s="4" customFormat="1" ht="24" customHeight="1">
      <c r="A15" s="186" t="s">
        <v>24</v>
      </c>
      <c r="B15" s="186"/>
      <c r="C15" s="22"/>
      <c r="D15" s="15"/>
      <c r="E15" s="68"/>
      <c r="F15" s="68"/>
      <c r="G15" s="68"/>
      <c r="H15" s="68"/>
      <c r="I15" s="68"/>
      <c r="J15" s="68"/>
      <c r="K15" s="15"/>
      <c r="L15" s="68"/>
      <c r="M15" s="15"/>
      <c r="N15" s="15"/>
      <c r="O15" s="15"/>
      <c r="P15" s="15"/>
      <c r="Q15" s="15"/>
      <c r="R15" s="15"/>
      <c r="S15" s="15"/>
      <c r="T15" s="15"/>
      <c r="U15" s="15"/>
      <c r="V15" s="67"/>
      <c r="W15" s="15"/>
      <c r="X15" s="67"/>
      <c r="Y15" s="24"/>
      <c r="Z15" s="76"/>
      <c r="AA15" s="77"/>
      <c r="AB15" s="77"/>
      <c r="AC15" s="88"/>
      <c r="AD15" s="10"/>
      <c r="AE15" s="10"/>
      <c r="AF15" s="10"/>
      <c r="AG15" s="10"/>
      <c r="AH15" s="10"/>
      <c r="AI15" s="10"/>
    </row>
    <row r="16" spans="1:35" s="4" customFormat="1" ht="45" customHeight="1">
      <c r="A16" s="18">
        <v>1</v>
      </c>
      <c r="B16" s="23" t="s">
        <v>25</v>
      </c>
      <c r="C16" s="19" t="s">
        <v>26</v>
      </c>
      <c r="D16" s="24"/>
      <c r="E16" s="25">
        <v>2.8</v>
      </c>
      <c r="F16" s="68"/>
      <c r="G16" s="21">
        <v>196807.1</v>
      </c>
      <c r="H16" s="68"/>
      <c r="I16" s="68"/>
      <c r="J16" s="68"/>
      <c r="K16" s="15"/>
      <c r="L16" s="68"/>
      <c r="M16" s="15"/>
      <c r="N16" s="25">
        <f>E16</f>
        <v>2.8</v>
      </c>
      <c r="O16" s="68"/>
      <c r="P16" s="21">
        <f>G16</f>
        <v>196807.1</v>
      </c>
      <c r="Q16" s="15"/>
      <c r="R16" s="21">
        <f>P16</f>
        <v>196807.1</v>
      </c>
      <c r="S16" s="15"/>
      <c r="T16" s="15"/>
      <c r="U16" s="15"/>
      <c r="V16" s="67"/>
      <c r="W16" s="15"/>
      <c r="X16" s="67"/>
      <c r="Y16" s="68"/>
      <c r="Z16" s="78"/>
      <c r="AA16" s="77"/>
      <c r="AB16" s="77"/>
      <c r="AC16" s="88"/>
      <c r="AD16" s="10"/>
      <c r="AE16" s="10"/>
      <c r="AF16" s="10"/>
      <c r="AG16" s="10"/>
      <c r="AH16" s="10"/>
      <c r="AI16" s="10"/>
    </row>
    <row r="17" spans="1:41" s="4" customFormat="1" ht="27" hidden="1" customHeight="1">
      <c r="A17" s="186" t="s">
        <v>27</v>
      </c>
      <c r="B17" s="186"/>
      <c r="C17" s="22"/>
      <c r="D17" s="15"/>
      <c r="E17" s="68"/>
      <c r="F17" s="68"/>
      <c r="G17" s="68"/>
      <c r="H17" s="68"/>
      <c r="I17" s="68"/>
      <c r="J17" s="68"/>
      <c r="K17" s="15"/>
      <c r="L17" s="68"/>
      <c r="M17" s="15"/>
      <c r="N17" s="68"/>
      <c r="O17" s="68"/>
      <c r="P17" s="68"/>
      <c r="Q17" s="15"/>
      <c r="R17" s="68"/>
      <c r="S17" s="15"/>
      <c r="T17" s="15"/>
      <c r="U17" s="15"/>
      <c r="V17" s="67"/>
      <c r="W17" s="15"/>
      <c r="X17" s="67"/>
      <c r="Y17" s="68"/>
      <c r="Z17" s="76"/>
      <c r="AA17" s="77"/>
      <c r="AB17" s="77"/>
      <c r="AC17" s="88"/>
      <c r="AD17" s="10"/>
      <c r="AE17" s="10"/>
      <c r="AF17" s="10"/>
      <c r="AG17" s="10"/>
      <c r="AH17" s="10"/>
      <c r="AI17" s="10"/>
    </row>
    <row r="18" spans="1:41" s="4" customFormat="1" ht="50.25" hidden="1" customHeight="1">
      <c r="A18" s="18">
        <v>3</v>
      </c>
      <c r="B18" s="23" t="s">
        <v>28</v>
      </c>
      <c r="C18" s="19"/>
      <c r="D18" s="22"/>
      <c r="E18" s="20"/>
      <c r="F18" s="68"/>
      <c r="G18" s="21"/>
      <c r="H18" s="68"/>
      <c r="I18" s="68"/>
      <c r="J18" s="60"/>
      <c r="K18" s="15"/>
      <c r="L18" s="68"/>
      <c r="M18" s="15" t="s">
        <v>39</v>
      </c>
      <c r="N18" s="68"/>
      <c r="O18" s="68"/>
      <c r="P18" s="68"/>
      <c r="Q18" s="15"/>
      <c r="R18" s="68"/>
      <c r="S18" s="15"/>
      <c r="T18" s="25"/>
      <c r="U18" s="68"/>
      <c r="V18" s="21"/>
      <c r="W18" s="15"/>
      <c r="X18" s="40"/>
      <c r="Y18" s="68"/>
      <c r="Z18" s="76"/>
      <c r="AA18" s="77"/>
      <c r="AB18" s="77"/>
      <c r="AC18" s="88"/>
      <c r="AD18" s="10"/>
      <c r="AE18" s="10"/>
      <c r="AF18" s="10"/>
      <c r="AG18" s="10"/>
      <c r="AH18" s="10"/>
      <c r="AI18" s="10"/>
    </row>
    <row r="19" spans="1:41" s="4" customFormat="1" ht="30" customHeight="1">
      <c r="A19" s="14">
        <v>2</v>
      </c>
      <c r="B19" s="190" t="s">
        <v>29</v>
      </c>
      <c r="C19" s="191"/>
      <c r="D19" s="15"/>
      <c r="E19" s="26"/>
      <c r="F19" s="15"/>
      <c r="G19" s="26"/>
      <c r="H19" s="15"/>
      <c r="I19" s="15"/>
      <c r="J19" s="15"/>
      <c r="K19" s="15"/>
      <c r="L19" s="15"/>
      <c r="M19" s="15"/>
      <c r="N19" s="15"/>
      <c r="O19" s="15"/>
      <c r="P19" s="26"/>
      <c r="Q19" s="15"/>
      <c r="R19" s="26"/>
      <c r="S19" s="15"/>
      <c r="T19" s="15"/>
      <c r="U19" s="15"/>
      <c r="V19" s="67"/>
      <c r="W19" s="15"/>
      <c r="X19" s="67"/>
      <c r="Y19" s="68"/>
      <c r="Z19" s="76"/>
      <c r="AA19" s="77"/>
      <c r="AB19" s="77"/>
      <c r="AC19" s="88"/>
      <c r="AD19" s="10"/>
      <c r="AE19" s="10"/>
      <c r="AF19" s="10"/>
      <c r="AG19" s="10"/>
      <c r="AH19" s="10"/>
      <c r="AI19" s="10"/>
    </row>
    <row r="20" spans="1:41" s="31" customFormat="1" ht="29.1" customHeight="1">
      <c r="A20" s="27"/>
      <c r="B20" s="28" t="s">
        <v>30</v>
      </c>
      <c r="C20" s="29"/>
      <c r="D20" s="30"/>
      <c r="E20" s="68">
        <f>E22+E23</f>
        <v>393.56300000000005</v>
      </c>
      <c r="F20" s="21"/>
      <c r="G20" s="68">
        <f>G22+G23</f>
        <v>13663296.91556</v>
      </c>
      <c r="H20" s="68">
        <f>H39+H46+H54+H58+H68+H72+H77+H82+H89+H95+H99+H109+H114+H120+H129+H134+H139+H144+H147</f>
        <v>110.98110000000001</v>
      </c>
      <c r="I20" s="68"/>
      <c r="J20" s="68">
        <f>J39+J46+J54+J58+J68+J72+J77+J82+J89+J95+J99+J105+J114+J129+J139+J144+J147+J148</f>
        <v>2694770.9122200003</v>
      </c>
      <c r="K20" s="68">
        <f>K39+K46+K54+K58+K68+K72+K77+K82+K89+K95+K99+K105+K114+K129+K139+K144+K147+K148</f>
        <v>3.1999999999534339</v>
      </c>
      <c r="L20" s="68">
        <f>L39+L46+L54+L58+L68+L72+L77+L82+L89+L95+L99+L105+L114+L129+L139+L144+L147+L148</f>
        <v>2694767.7122200001</v>
      </c>
      <c r="M20" s="68"/>
      <c r="N20" s="68">
        <f>N39+N46+N54+N58+N68+N77+N82+N89+N95+N99+N105+N109+N114+N120+N129+N134+N139+N144</f>
        <v>150.81100000000001</v>
      </c>
      <c r="O20" s="68"/>
      <c r="P20" s="68">
        <f>P39+P46+P54+P58+P68+P72+P77+P82+P89+P95+P99+P105+P109+P114+P120+P129+P134+P139+P144+P148</f>
        <v>3911138.8000000007</v>
      </c>
      <c r="Q20" s="68">
        <f>Q39+Q46+Q54+Q58+Q68+Q72+Q77+Q82+Q89+Q95+Q99+Q105+Q109+Q114+Q120+Q129+Q134+Q139+Q144+Q148</f>
        <v>2858805.5999992536</v>
      </c>
      <c r="R20" s="68">
        <f>R39+R46+R54+R58+R68+R72+R77+R82+R89+R95+R99+R105+R109+R114+R120+R129+R134+R139+R144+R148</f>
        <v>1052333.2000007466</v>
      </c>
      <c r="S20" s="68"/>
      <c r="T20" s="68">
        <f>T26+T39+T46+T54+T58+T68+T77+T82+T89+T95+T99+T105+T109+T114+T120+T129+T134+T139+T144</f>
        <v>105.85199999999999</v>
      </c>
      <c r="U20" s="68"/>
      <c r="V20" s="68">
        <f>V26+V39+V46+V54+V58+V68+V77+V82+V89+V95+V99+V105+V109+V114+V120+V129+V134+V139+V144</f>
        <v>3927665.5</v>
      </c>
      <c r="W20" s="68">
        <f>W26+W39+W46+W54+W58+W68+W77+W82+W89+W95+W99+W105+W109+W114+W120+W129+W134+W139+W144</f>
        <v>3456345.5741385724</v>
      </c>
      <c r="X20" s="34">
        <f>X26+X39+X46+X54+X58+X68+X77+X82+X89+X95+X99+X105+X109+X114+X120+X129+X134+X139+X144</f>
        <v>471319.92586142791</v>
      </c>
      <c r="Y20" s="68">
        <f>139.6-2.7</f>
        <v>136.9</v>
      </c>
      <c r="Z20" s="79"/>
      <c r="AA20" s="68">
        <f>AB20+AC20</f>
        <v>5470735.5</v>
      </c>
      <c r="AB20" s="68">
        <v>4486003.0999999996</v>
      </c>
      <c r="AC20" s="17">
        <v>984732.4</v>
      </c>
      <c r="AD20" s="35">
        <f>N20+T20+Y20</f>
        <v>393.56299999999999</v>
      </c>
      <c r="AE20" s="35">
        <f>P20+V20+AA20</f>
        <v>13309539.800000001</v>
      </c>
      <c r="AF20" s="35">
        <f>AE20+AE23</f>
        <v>13663296.91557</v>
      </c>
      <c r="AO20" s="16">
        <v>3792827.38</v>
      </c>
    </row>
    <row r="21" spans="1:41" s="31" customFormat="1" ht="19.5" customHeight="1">
      <c r="A21" s="27"/>
      <c r="B21" s="66" t="s">
        <v>13</v>
      </c>
      <c r="C21" s="29"/>
      <c r="D21" s="30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33"/>
      <c r="Q21" s="33"/>
      <c r="R21" s="33"/>
      <c r="S21" s="68"/>
      <c r="T21" s="68"/>
      <c r="U21" s="68"/>
      <c r="V21" s="34"/>
      <c r="W21" s="68"/>
      <c r="X21" s="34"/>
      <c r="Y21" s="80"/>
      <c r="Z21" s="76"/>
      <c r="AA21" s="43"/>
      <c r="AB21" s="43"/>
      <c r="AC21" s="89"/>
      <c r="AO21" s="36"/>
    </row>
    <row r="22" spans="1:41" s="31" customFormat="1" ht="26.25" customHeight="1">
      <c r="A22" s="27"/>
      <c r="B22" s="28" t="s">
        <v>31</v>
      </c>
      <c r="C22" s="37"/>
      <c r="D22" s="30"/>
      <c r="E22" s="68">
        <f>E25+E37+E44+E54+E58+E68+E74+E75+E80+E87+E95+E99+E105+E107+E114+E120+E127+E134+E137+E142+Y22-6</f>
        <v>359.48400000000004</v>
      </c>
      <c r="F22" s="21"/>
      <c r="G22" s="68">
        <f>G25+G37+G44+G54+G58+G68+G74+G75+G80+G87+G95+G99+G105+G107+G114+G120+G127+G134+G137+G142+AA22-109508.3651</f>
        <v>13196989.115559999</v>
      </c>
      <c r="H22" s="68">
        <f>H37+H44+H61+H79+H91+H111+H127+H136+H141</f>
        <v>36.61</v>
      </c>
      <c r="I22" s="68"/>
      <c r="J22" s="68">
        <f>J28+J34+J44+J61+J79+J91+J101+J111+J127+J136+J141+J148</f>
        <v>1244847.9122199998</v>
      </c>
      <c r="K22" s="68">
        <f>K37+K44+K61+K79+K91+K101+K111+K127+K136+K148</f>
        <v>3.1999999999534339</v>
      </c>
      <c r="L22" s="68">
        <f>L28+L34+L44+L61+L79+L91+L101+L111+L127+L136+L141+L148</f>
        <v>1244844.7122199999</v>
      </c>
      <c r="M22" s="68"/>
      <c r="N22" s="68">
        <f>N28+N29+N30+N34+N35+N36+N42+N50+N51+N56+N65+N66+N74+N80+N84+N92+N97+N101+N102+N103+N107+N112+N116+N117+N123+N124+N131+N132+N137+N141+N148</f>
        <v>116.732</v>
      </c>
      <c r="O22" s="68"/>
      <c r="P22" s="68">
        <f>P28+P29+P30+P34+P35+P36+P42+P50+P51+P56+P65+P66+P74+P80+P84+P92+P97+P101+P102+P103+P107+P112+P116+P117+P123+P124+P131+P132+P137+P141+P148</f>
        <v>3444831.0000000005</v>
      </c>
      <c r="Q22" s="68">
        <f>Q28+Q29+Q30+Q34+Q35+Q36+Q42+Q50+Q51+Q56+Q65+Q66+Q74+Q80+Q84+Q92+Q97+Q101+Q102+Q103+Q107+Q112+Q116+Q117+Q123+Q131+Q132+Q137+Q141+Q148</f>
        <v>2858805.5999992536</v>
      </c>
      <c r="R22" s="68">
        <f>R28+R29+R30+R34+R35+R36+R42+R50+R51+R56+R65+R66+R74+R80+R84+R92+R97+R101+R102+R103+R107+R112+R116+R117+R123+R124+R131+R132+R137+R141+R148</f>
        <v>586025.40000074648</v>
      </c>
      <c r="S22" s="68"/>
      <c r="T22" s="68">
        <f>T20</f>
        <v>105.85199999999999</v>
      </c>
      <c r="U22" s="68"/>
      <c r="V22" s="34">
        <f>V20</f>
        <v>3927665.5</v>
      </c>
      <c r="W22" s="68">
        <f>W20</f>
        <v>3456345.5741385724</v>
      </c>
      <c r="X22" s="34">
        <f>X20</f>
        <v>471319.92586142791</v>
      </c>
      <c r="Y22" s="68">
        <f>Y20</f>
        <v>136.9</v>
      </c>
      <c r="Z22" s="78"/>
      <c r="AA22" s="68">
        <f>AA20</f>
        <v>5470735.5</v>
      </c>
      <c r="AB22" s="68">
        <f>AB20</f>
        <v>4486003.0999999996</v>
      </c>
      <c r="AC22" s="17">
        <f>AC20</f>
        <v>984732.4</v>
      </c>
      <c r="AD22" s="35">
        <f>N22+T22+Y22</f>
        <v>359.48400000000004</v>
      </c>
      <c r="AE22" s="35">
        <f>P22+V22+AA22</f>
        <v>12843232</v>
      </c>
      <c r="AF22" s="35">
        <f>AE22+AE23</f>
        <v>13196989.115569999</v>
      </c>
      <c r="AO22" s="36"/>
    </row>
    <row r="23" spans="1:41" s="31" customFormat="1" ht="25.5" customHeight="1">
      <c r="A23" s="27"/>
      <c r="B23" s="38" t="s">
        <v>32</v>
      </c>
      <c r="C23" s="37"/>
      <c r="D23" s="29"/>
      <c r="E23" s="68">
        <f>E38+E45+E76+E88+E128+E138+E143+E146</f>
        <v>34.079000000000001</v>
      </c>
      <c r="F23" s="68"/>
      <c r="G23" s="68">
        <f>G38+G45+G76+G88+G128+G138+G143</f>
        <v>466307.8</v>
      </c>
      <c r="H23" s="68">
        <f>H38+H45+H76+H88+H128+H138+H143+H146</f>
        <v>74.371099999999998</v>
      </c>
      <c r="I23" s="68"/>
      <c r="J23" s="68">
        <f>J38+J45+J76+J88+J128+J138+J143+J146</f>
        <v>1449923</v>
      </c>
      <c r="K23" s="68"/>
      <c r="L23" s="68">
        <f>L38+L45+L76+L88+L128+L138+L143+L146</f>
        <v>1449923</v>
      </c>
      <c r="M23" s="68"/>
      <c r="N23" s="68">
        <f>N38+N45+N76+N88+N128+N138+N143+N146</f>
        <v>34.079000000000001</v>
      </c>
      <c r="O23" s="68"/>
      <c r="P23" s="68">
        <f>P38+P45+P76+P88+P128+P138+P143+P146</f>
        <v>466307.8</v>
      </c>
      <c r="Q23" s="68"/>
      <c r="R23" s="68">
        <f>R38+R45+R76+R88+R128+R138+R143+R146</f>
        <v>466307.8</v>
      </c>
      <c r="S23" s="68"/>
      <c r="T23" s="68"/>
      <c r="U23" s="68"/>
      <c r="V23" s="34"/>
      <c r="W23" s="68"/>
      <c r="X23" s="34"/>
      <c r="Y23" s="68"/>
      <c r="Z23" s="78"/>
      <c r="AA23" s="80"/>
      <c r="AB23" s="43"/>
      <c r="AC23" s="89"/>
      <c r="AE23" s="35">
        <f>AD28+AD34+AD101</f>
        <v>353757.11557000002</v>
      </c>
      <c r="AO23" s="36"/>
    </row>
    <row r="24" spans="1:41" s="31" customFormat="1" ht="30" customHeight="1">
      <c r="A24" s="186" t="s">
        <v>21</v>
      </c>
      <c r="B24" s="186"/>
      <c r="C24" s="29"/>
      <c r="D24" s="29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34"/>
      <c r="W24" s="68"/>
      <c r="X24" s="34"/>
      <c r="Y24" s="43"/>
      <c r="Z24" s="76"/>
      <c r="AA24" s="43"/>
      <c r="AB24" s="43"/>
      <c r="AC24" s="89"/>
      <c r="AO24" s="36"/>
    </row>
    <row r="25" spans="1:41" s="31" customFormat="1" ht="43.5" customHeight="1">
      <c r="A25" s="100">
        <v>1</v>
      </c>
      <c r="B25" s="61" t="s">
        <v>157</v>
      </c>
      <c r="C25" s="101" t="s">
        <v>23</v>
      </c>
      <c r="D25" s="102"/>
      <c r="E25" s="103">
        <v>7.6059999999999999</v>
      </c>
      <c r="F25" s="103"/>
      <c r="G25" s="104">
        <v>258054.77974</v>
      </c>
      <c r="H25" s="105"/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3">
        <f>E25</f>
        <v>7.6059999999999999</v>
      </c>
      <c r="U25" s="103"/>
      <c r="V25" s="104">
        <f>G25</f>
        <v>258054.77974</v>
      </c>
      <c r="W25" s="21">
        <f>V25*0.879999983231406</f>
        <v>227088.20184398419</v>
      </c>
      <c r="X25" s="40">
        <f>V25-W25</f>
        <v>30966.577896015806</v>
      </c>
      <c r="Y25" s="43"/>
      <c r="Z25" s="76"/>
      <c r="AA25" s="43"/>
      <c r="AB25" s="43"/>
      <c r="AC25" s="89"/>
      <c r="AO25" s="36"/>
    </row>
    <row r="26" spans="1:41" s="31" customFormat="1" ht="27.75" customHeight="1">
      <c r="A26" s="172" t="s">
        <v>33</v>
      </c>
      <c r="B26" s="172"/>
      <c r="C26" s="172"/>
      <c r="D26" s="102"/>
      <c r="E26" s="105">
        <f>SUM(E25)</f>
        <v>7.6059999999999999</v>
      </c>
      <c r="F26" s="105"/>
      <c r="G26" s="105">
        <f>SUM(G25)</f>
        <v>258054.77974</v>
      </c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>
        <f>SUM(T25)</f>
        <v>7.6059999999999999</v>
      </c>
      <c r="U26" s="105"/>
      <c r="V26" s="106">
        <f>SUM(V25)</f>
        <v>258054.77974</v>
      </c>
      <c r="W26" s="68">
        <f>SUM(W25)</f>
        <v>227088.20184398419</v>
      </c>
      <c r="X26" s="34">
        <f>SUM(X25)</f>
        <v>30966.577896015806</v>
      </c>
      <c r="Y26" s="43"/>
      <c r="Z26" s="76"/>
      <c r="AA26" s="43"/>
      <c r="AB26" s="43"/>
      <c r="AC26" s="89"/>
      <c r="AO26" s="36"/>
    </row>
    <row r="27" spans="1:41" s="31" customFormat="1" ht="28.5" customHeight="1">
      <c r="A27" s="170" t="s">
        <v>34</v>
      </c>
      <c r="B27" s="170"/>
      <c r="C27" s="181"/>
      <c r="D27" s="181"/>
      <c r="E27" s="181"/>
      <c r="F27" s="107"/>
      <c r="G27" s="105"/>
      <c r="H27" s="104"/>
      <c r="I27" s="104"/>
      <c r="J27" s="104"/>
      <c r="K27" s="104"/>
      <c r="L27" s="104"/>
      <c r="M27" s="104"/>
      <c r="N27" s="104"/>
      <c r="O27" s="101"/>
      <c r="P27" s="104"/>
      <c r="Q27" s="104"/>
      <c r="R27" s="104"/>
      <c r="S27" s="104"/>
      <c r="T27" s="104"/>
      <c r="U27" s="104"/>
      <c r="V27" s="108"/>
      <c r="W27" s="21"/>
      <c r="X27" s="40"/>
      <c r="Y27" s="76"/>
      <c r="Z27" s="76"/>
      <c r="AA27" s="43"/>
      <c r="AB27" s="43"/>
      <c r="AC27" s="89"/>
    </row>
    <row r="28" spans="1:41" s="31" customFormat="1" ht="51.75" customHeight="1">
      <c r="A28" s="100">
        <v>2</v>
      </c>
      <c r="B28" s="61" t="s">
        <v>35</v>
      </c>
      <c r="C28" s="101" t="s">
        <v>36</v>
      </c>
      <c r="D28" s="101"/>
      <c r="E28" s="103">
        <f>14.635-8.245</f>
        <v>6.3900000000000006</v>
      </c>
      <c r="F28" s="103"/>
      <c r="G28" s="104">
        <f>J28+P28</f>
        <v>301008.75906000001</v>
      </c>
      <c r="H28" s="103"/>
      <c r="I28" s="104"/>
      <c r="J28" s="104">
        <f>150000+3263.48706+333.5004</f>
        <v>153596.98746</v>
      </c>
      <c r="K28" s="104"/>
      <c r="L28" s="104">
        <f>J28</f>
        <v>153596.98746</v>
      </c>
      <c r="M28" s="104"/>
      <c r="N28" s="103">
        <f>E28</f>
        <v>6.3900000000000006</v>
      </c>
      <c r="O28" s="103"/>
      <c r="P28" s="104">
        <v>147411.77160000001</v>
      </c>
      <c r="Q28" s="104">
        <v>138567.06317000001</v>
      </c>
      <c r="R28" s="104">
        <f>P28-Q28</f>
        <v>8844.7084299999988</v>
      </c>
      <c r="S28" s="104"/>
      <c r="T28" s="104"/>
      <c r="U28" s="104"/>
      <c r="V28" s="108"/>
      <c r="W28" s="21"/>
      <c r="X28" s="40"/>
      <c r="Y28" s="76"/>
      <c r="Z28" s="76"/>
      <c r="AA28" s="80"/>
      <c r="AB28" s="43"/>
      <c r="AC28" s="89"/>
      <c r="AD28" s="35">
        <f>G28-P28</f>
        <v>153596.98746</v>
      </c>
    </row>
    <row r="29" spans="1:41" s="31" customFormat="1" ht="46.5" customHeight="1">
      <c r="A29" s="100">
        <v>3</v>
      </c>
      <c r="B29" s="61" t="s">
        <v>37</v>
      </c>
      <c r="C29" s="101" t="s">
        <v>23</v>
      </c>
      <c r="D29" s="101"/>
      <c r="E29" s="103">
        <f>(2.975-0.02)+(9.02-6.67)</f>
        <v>5.3049999999999997</v>
      </c>
      <c r="F29" s="109"/>
      <c r="G29" s="104">
        <v>136547.54149999999</v>
      </c>
      <c r="H29" s="103"/>
      <c r="I29" s="104"/>
      <c r="J29" s="104"/>
      <c r="K29" s="104"/>
      <c r="L29" s="104"/>
      <c r="M29" s="104"/>
      <c r="N29" s="103">
        <f>E29</f>
        <v>5.3049999999999997</v>
      </c>
      <c r="O29" s="103"/>
      <c r="P29" s="104">
        <v>136547.54149999999</v>
      </c>
      <c r="Q29" s="104">
        <v>128354.68703</v>
      </c>
      <c r="R29" s="104">
        <f>P29-Q29</f>
        <v>8192.8544699999911</v>
      </c>
      <c r="S29" s="104"/>
      <c r="T29" s="104"/>
      <c r="U29" s="104"/>
      <c r="V29" s="108"/>
      <c r="W29" s="21"/>
      <c r="X29" s="40"/>
      <c r="Y29" s="76"/>
      <c r="Z29" s="76"/>
      <c r="AA29" s="43"/>
      <c r="AB29" s="43"/>
      <c r="AC29" s="89"/>
    </row>
    <row r="30" spans="1:41" s="31" customFormat="1" ht="31.5" customHeight="1">
      <c r="A30" s="100">
        <v>4</v>
      </c>
      <c r="B30" s="61" t="s">
        <v>38</v>
      </c>
      <c r="C30" s="101" t="s">
        <v>23</v>
      </c>
      <c r="D30" s="101"/>
      <c r="E30" s="109">
        <v>5.05</v>
      </c>
      <c r="F30" s="109"/>
      <c r="G30" s="104">
        <v>137839.47672999999</v>
      </c>
      <c r="H30" s="103"/>
      <c r="I30" s="104"/>
      <c r="J30" s="104"/>
      <c r="K30" s="104"/>
      <c r="L30" s="104"/>
      <c r="M30" s="104"/>
      <c r="N30" s="103">
        <f>E30</f>
        <v>5.05</v>
      </c>
      <c r="O30" s="103"/>
      <c r="P30" s="104">
        <f>G30</f>
        <v>137839.47672999999</v>
      </c>
      <c r="Q30" s="104">
        <v>129569.10613</v>
      </c>
      <c r="R30" s="104">
        <f>P30-Q30</f>
        <v>8270.3705999999947</v>
      </c>
      <c r="S30" s="104"/>
      <c r="T30" s="104"/>
      <c r="U30" s="104"/>
      <c r="V30" s="108" t="s">
        <v>39</v>
      </c>
      <c r="W30" s="21"/>
      <c r="X30" s="40"/>
      <c r="Y30" s="76"/>
      <c r="Z30" s="76"/>
      <c r="AA30" s="43"/>
      <c r="AB30" s="43"/>
      <c r="AC30" s="89"/>
    </row>
    <row r="31" spans="1:41" s="31" customFormat="1" ht="45.75" customHeight="1">
      <c r="A31" s="100">
        <v>5</v>
      </c>
      <c r="B31" s="110" t="s">
        <v>161</v>
      </c>
      <c r="C31" s="101" t="s">
        <v>36</v>
      </c>
      <c r="D31" s="101"/>
      <c r="E31" s="109">
        <v>1.4</v>
      </c>
      <c r="F31" s="109"/>
      <c r="G31" s="104">
        <v>220732.87409</v>
      </c>
      <c r="H31" s="103"/>
      <c r="I31" s="104"/>
      <c r="J31" s="104"/>
      <c r="K31" s="104"/>
      <c r="L31" s="104"/>
      <c r="M31" s="104"/>
      <c r="N31" s="103"/>
      <c r="O31" s="103"/>
      <c r="P31" s="104"/>
      <c r="Q31" s="104"/>
      <c r="R31" s="104"/>
      <c r="S31" s="104"/>
      <c r="T31" s="109">
        <f>E31</f>
        <v>1.4</v>
      </c>
      <c r="U31" s="104"/>
      <c r="V31" s="108">
        <f>G31</f>
        <v>220732.87409</v>
      </c>
      <c r="W31" s="21">
        <f t="shared" ref="W31:W33" si="0">V31*0.879999983231406</f>
        <v>194244.92549782005</v>
      </c>
      <c r="X31" s="40">
        <f>V31-W31</f>
        <v>26487.94859217995</v>
      </c>
      <c r="Y31" s="76"/>
      <c r="Z31" s="76"/>
      <c r="AA31" s="43"/>
      <c r="AB31" s="43"/>
      <c r="AC31" s="89"/>
    </row>
    <row r="32" spans="1:41" s="31" customFormat="1" ht="27" customHeight="1">
      <c r="A32" s="100">
        <v>6</v>
      </c>
      <c r="B32" s="61" t="s">
        <v>41</v>
      </c>
      <c r="C32" s="101" t="s">
        <v>23</v>
      </c>
      <c r="D32" s="101"/>
      <c r="E32" s="109">
        <v>2.9</v>
      </c>
      <c r="F32" s="109"/>
      <c r="G32" s="104">
        <v>87020.69094</v>
      </c>
      <c r="H32" s="103"/>
      <c r="I32" s="104"/>
      <c r="J32" s="104" t="s">
        <v>42</v>
      </c>
      <c r="K32" s="104"/>
      <c r="L32" s="104"/>
      <c r="M32" s="104"/>
      <c r="N32" s="103"/>
      <c r="O32" s="103"/>
      <c r="P32" s="104"/>
      <c r="Q32" s="104"/>
      <c r="R32" s="104"/>
      <c r="S32" s="104"/>
      <c r="T32" s="109">
        <f>E32</f>
        <v>2.9</v>
      </c>
      <c r="U32" s="104"/>
      <c r="V32" s="108">
        <f>G32</f>
        <v>87020.69094</v>
      </c>
      <c r="W32" s="21">
        <f t="shared" si="0"/>
        <v>76578.206567985369</v>
      </c>
      <c r="X32" s="40">
        <f>V32-W32</f>
        <v>10442.484372014631</v>
      </c>
      <c r="Y32" s="76"/>
      <c r="Z32" s="76"/>
      <c r="AA32" s="43"/>
      <c r="AB32" s="43"/>
      <c r="AC32" s="89"/>
    </row>
    <row r="33" spans="1:30" s="31" customFormat="1" ht="48.75" customHeight="1">
      <c r="A33" s="100">
        <v>7</v>
      </c>
      <c r="B33" s="61" t="s">
        <v>43</v>
      </c>
      <c r="C33" s="101" t="s">
        <v>36</v>
      </c>
      <c r="D33" s="101"/>
      <c r="E33" s="109">
        <v>1.48</v>
      </c>
      <c r="F33" s="109"/>
      <c r="G33" s="104">
        <v>150058.86895</v>
      </c>
      <c r="H33" s="103"/>
      <c r="I33" s="104"/>
      <c r="J33" s="104"/>
      <c r="K33" s="104"/>
      <c r="L33" s="104"/>
      <c r="M33" s="104"/>
      <c r="N33" s="103"/>
      <c r="O33" s="103"/>
      <c r="P33" s="104"/>
      <c r="Q33" s="104"/>
      <c r="R33" s="104"/>
      <c r="S33" s="104"/>
      <c r="T33" s="109">
        <f>E33</f>
        <v>1.48</v>
      </c>
      <c r="U33" s="104"/>
      <c r="V33" s="108">
        <f>G33</f>
        <v>150058.86895</v>
      </c>
      <c r="W33" s="21">
        <f t="shared" si="0"/>
        <v>132051.80215972377</v>
      </c>
      <c r="X33" s="40">
        <f>V33-W33</f>
        <v>18007.066790276236</v>
      </c>
      <c r="Y33" s="76"/>
      <c r="Z33" s="76"/>
      <c r="AA33" s="43"/>
      <c r="AB33" s="43"/>
      <c r="AC33" s="89"/>
    </row>
    <row r="34" spans="1:30" s="31" customFormat="1" ht="48" customHeight="1">
      <c r="A34" s="100">
        <v>8</v>
      </c>
      <c r="B34" s="61" t="s">
        <v>44</v>
      </c>
      <c r="C34" s="101" t="s">
        <v>23</v>
      </c>
      <c r="D34" s="101"/>
      <c r="E34" s="109">
        <f>3.65-0.745</f>
        <v>2.9049999999999998</v>
      </c>
      <c r="F34" s="109"/>
      <c r="G34" s="104">
        <f>J34+P34</f>
        <v>79845.642900000006</v>
      </c>
      <c r="H34" s="103"/>
      <c r="I34" s="104"/>
      <c r="J34" s="104">
        <v>50160.128109999998</v>
      </c>
      <c r="K34" s="104"/>
      <c r="L34" s="104">
        <f>J34</f>
        <v>50160.128109999998</v>
      </c>
      <c r="M34" s="104"/>
      <c r="N34" s="103">
        <f>E34</f>
        <v>2.9049999999999998</v>
      </c>
      <c r="O34" s="103"/>
      <c r="P34" s="104">
        <v>29685.514790000001</v>
      </c>
      <c r="Q34" s="104">
        <v>27904.383470000001</v>
      </c>
      <c r="R34" s="104">
        <f>P34-Q34</f>
        <v>1781.1313200000004</v>
      </c>
      <c r="S34" s="104"/>
      <c r="T34" s="109"/>
      <c r="U34" s="104"/>
      <c r="V34" s="108"/>
      <c r="W34" s="21"/>
      <c r="X34" s="40"/>
      <c r="Y34" s="76"/>
      <c r="Z34" s="76"/>
      <c r="AA34" s="80"/>
      <c r="AB34" s="43"/>
      <c r="AC34" s="89"/>
      <c r="AD34" s="35">
        <f>G34-P34</f>
        <v>50160.128110000005</v>
      </c>
    </row>
    <row r="35" spans="1:30" s="31" customFormat="1" ht="40.35" customHeight="1">
      <c r="A35" s="100">
        <v>9</v>
      </c>
      <c r="B35" s="61" t="s">
        <v>152</v>
      </c>
      <c r="C35" s="101" t="s">
        <v>23</v>
      </c>
      <c r="D35" s="101"/>
      <c r="E35" s="109">
        <v>1.4</v>
      </c>
      <c r="F35" s="109"/>
      <c r="G35" s="104">
        <v>36067.305959999998</v>
      </c>
      <c r="H35" s="103"/>
      <c r="I35" s="104"/>
      <c r="J35" s="104"/>
      <c r="K35" s="104"/>
      <c r="L35" s="104"/>
      <c r="M35" s="104"/>
      <c r="N35" s="103">
        <f>E35</f>
        <v>1.4</v>
      </c>
      <c r="O35" s="103"/>
      <c r="P35" s="104">
        <f>G35</f>
        <v>36067.305959999998</v>
      </c>
      <c r="Q35" s="104">
        <v>33903.267079999998</v>
      </c>
      <c r="R35" s="104">
        <f>P35-Q35</f>
        <v>2164.0388800000001</v>
      </c>
      <c r="S35" s="104"/>
      <c r="T35" s="109"/>
      <c r="U35" s="104"/>
      <c r="V35" s="108"/>
      <c r="W35" s="21"/>
      <c r="X35" s="40"/>
      <c r="Y35" s="76"/>
      <c r="Z35" s="76"/>
      <c r="AA35" s="43"/>
      <c r="AB35" s="43"/>
      <c r="AC35" s="89"/>
    </row>
    <row r="36" spans="1:30" s="31" customFormat="1" ht="63" customHeight="1">
      <c r="A36" s="100">
        <v>10</v>
      </c>
      <c r="B36" s="61" t="s">
        <v>153</v>
      </c>
      <c r="C36" s="101" t="s">
        <v>36</v>
      </c>
      <c r="D36" s="101"/>
      <c r="E36" s="109">
        <f>N36+T36</f>
        <v>4.5999999999999996</v>
      </c>
      <c r="F36" s="109"/>
      <c r="G36" s="104">
        <f>P36+V36</f>
        <v>405818.36258000002</v>
      </c>
      <c r="H36" s="103"/>
      <c r="I36" s="104"/>
      <c r="J36" s="104"/>
      <c r="K36" s="104"/>
      <c r="L36" s="104"/>
      <c r="M36" s="104"/>
      <c r="N36" s="103">
        <v>3</v>
      </c>
      <c r="O36" s="103"/>
      <c r="P36" s="104">
        <v>263548.40000000002</v>
      </c>
      <c r="Q36" s="104"/>
      <c r="R36" s="104">
        <f>P36</f>
        <v>263548.40000000002</v>
      </c>
      <c r="S36" s="104"/>
      <c r="T36" s="109">
        <v>1.6</v>
      </c>
      <c r="U36" s="104"/>
      <c r="V36" s="108">
        <v>142269.96257999999</v>
      </c>
      <c r="W36" s="21">
        <f t="shared" ref="W36:W37" si="1">V36*0.879999983231406</f>
        <v>125197.56468473276</v>
      </c>
      <c r="X36" s="40">
        <f>V36-W36</f>
        <v>17072.397895267233</v>
      </c>
      <c r="Y36" s="76"/>
      <c r="Z36" s="76"/>
      <c r="AA36" s="43"/>
      <c r="AB36" s="43"/>
      <c r="AC36" s="89"/>
    </row>
    <row r="37" spans="1:30" s="31" customFormat="1" ht="26.25" customHeight="1">
      <c r="A37" s="111"/>
      <c r="B37" s="61" t="s">
        <v>45</v>
      </c>
      <c r="C37" s="101"/>
      <c r="D37" s="101"/>
      <c r="E37" s="112">
        <f>SUM(E28:E36)</f>
        <v>31.43</v>
      </c>
      <c r="F37" s="104"/>
      <c r="G37" s="104">
        <f>SUM(G28:G36)</f>
        <v>1554939.5227099999</v>
      </c>
      <c r="H37" s="104">
        <f>SUM(H28:H30)</f>
        <v>0</v>
      </c>
      <c r="I37" s="112"/>
      <c r="J37" s="104">
        <f>SUM(J28:J34)</f>
        <v>203757.11556999999</v>
      </c>
      <c r="K37" s="104"/>
      <c r="L37" s="104">
        <f>SUM(L28:L34)</f>
        <v>203757.11556999999</v>
      </c>
      <c r="M37" s="104"/>
      <c r="N37" s="112">
        <f>SUM(N28:N36)</f>
        <v>24.05</v>
      </c>
      <c r="O37" s="112"/>
      <c r="P37" s="104">
        <f t="shared" ref="P37:R37" si="2">SUM(P28:P36)</f>
        <v>751100.01058</v>
      </c>
      <c r="Q37" s="104">
        <f t="shared" si="2"/>
        <v>458298.50688</v>
      </c>
      <c r="R37" s="104">
        <f t="shared" si="2"/>
        <v>292801.5037</v>
      </c>
      <c r="S37" s="105"/>
      <c r="T37" s="103">
        <f>SUM(T31:T36)</f>
        <v>7.379999999999999</v>
      </c>
      <c r="U37" s="104"/>
      <c r="V37" s="108">
        <f>SUM(V31:V36)</f>
        <v>600082.39656000002</v>
      </c>
      <c r="W37" s="21">
        <f t="shared" si="1"/>
        <v>528072.49891026202</v>
      </c>
      <c r="X37" s="40">
        <f t="shared" ref="X37" si="3">SUM(X31:X36)</f>
        <v>72009.89764973805</v>
      </c>
      <c r="Y37" s="76"/>
      <c r="Z37" s="76"/>
      <c r="AA37" s="43"/>
      <c r="AB37" s="43"/>
      <c r="AC37" s="89"/>
    </row>
    <row r="38" spans="1:30" s="31" customFormat="1" ht="39" customHeight="1">
      <c r="A38" s="111"/>
      <c r="B38" s="61" t="s">
        <v>46</v>
      </c>
      <c r="C38" s="101"/>
      <c r="D38" s="101"/>
      <c r="E38" s="112">
        <f>N38</f>
        <v>8.9819999999999993</v>
      </c>
      <c r="F38" s="112"/>
      <c r="G38" s="104">
        <f>P38</f>
        <v>68136.2</v>
      </c>
      <c r="H38" s="112">
        <v>21.892099999999999</v>
      </c>
      <c r="I38" s="112"/>
      <c r="J38" s="104">
        <f>329407+74511</f>
        <v>403918</v>
      </c>
      <c r="K38" s="104"/>
      <c r="L38" s="104">
        <f>J38</f>
        <v>403918</v>
      </c>
      <c r="M38" s="104"/>
      <c r="N38" s="104">
        <v>8.9819999999999993</v>
      </c>
      <c r="O38" s="113"/>
      <c r="P38" s="104">
        <v>68136.2</v>
      </c>
      <c r="Q38" s="104"/>
      <c r="R38" s="104">
        <f>P38</f>
        <v>68136.2</v>
      </c>
      <c r="S38" s="105"/>
      <c r="T38" s="105"/>
      <c r="U38" s="105"/>
      <c r="V38" s="106"/>
      <c r="W38" s="68"/>
      <c r="X38" s="34"/>
      <c r="Y38" s="76"/>
      <c r="Z38" s="76"/>
      <c r="AA38" s="43"/>
      <c r="AB38" s="43"/>
      <c r="AC38" s="89"/>
    </row>
    <row r="39" spans="1:30" s="31" customFormat="1" ht="25.5" customHeight="1">
      <c r="A39" s="172" t="s">
        <v>47</v>
      </c>
      <c r="B39" s="172"/>
      <c r="C39" s="101"/>
      <c r="D39" s="101"/>
      <c r="E39" s="113">
        <f>E37+E38</f>
        <v>40.411999999999999</v>
      </c>
      <c r="F39" s="113"/>
      <c r="G39" s="105">
        <f>G37+G38</f>
        <v>1623075.7227099999</v>
      </c>
      <c r="H39" s="113">
        <f>H37+H38</f>
        <v>21.892099999999999</v>
      </c>
      <c r="I39" s="113"/>
      <c r="J39" s="105">
        <f>J37+J38</f>
        <v>607675.11557000002</v>
      </c>
      <c r="K39" s="105">
        <f>K37+K38</f>
        <v>0</v>
      </c>
      <c r="L39" s="105">
        <f>L37+L38</f>
        <v>607675.11557000002</v>
      </c>
      <c r="M39" s="105"/>
      <c r="N39" s="113">
        <f>N37+N38</f>
        <v>33.031999999999996</v>
      </c>
      <c r="O39" s="113"/>
      <c r="P39" s="105">
        <f>P37+P38</f>
        <v>819236.21057999996</v>
      </c>
      <c r="Q39" s="105">
        <f>Q37+Q38</f>
        <v>458298.50688</v>
      </c>
      <c r="R39" s="105">
        <f>R37+R38</f>
        <v>360937.70370000001</v>
      </c>
      <c r="S39" s="105"/>
      <c r="T39" s="113">
        <f>T37+T38</f>
        <v>7.379999999999999</v>
      </c>
      <c r="U39" s="113"/>
      <c r="V39" s="105">
        <f>V37+V38</f>
        <v>600082.39656000002</v>
      </c>
      <c r="W39" s="68">
        <f>W37+W38</f>
        <v>528072.49891026202</v>
      </c>
      <c r="X39" s="34">
        <f>X37+X38</f>
        <v>72009.89764973805</v>
      </c>
      <c r="Y39" s="78"/>
      <c r="Z39" s="76"/>
      <c r="AA39" s="43"/>
      <c r="AB39" s="43"/>
      <c r="AC39" s="89"/>
    </row>
    <row r="40" spans="1:30" s="31" customFormat="1" ht="27.75" customHeight="1">
      <c r="A40" s="170" t="s">
        <v>48</v>
      </c>
      <c r="B40" s="170"/>
      <c r="C40" s="171"/>
      <c r="D40" s="171"/>
      <c r="E40" s="171"/>
      <c r="F40" s="107"/>
      <c r="G40" s="105"/>
      <c r="H40" s="101"/>
      <c r="I40" s="104"/>
      <c r="J40" s="104"/>
      <c r="K40" s="104"/>
      <c r="L40" s="104"/>
      <c r="M40" s="104"/>
      <c r="N40" s="104"/>
      <c r="O40" s="101"/>
      <c r="P40" s="104"/>
      <c r="Q40" s="104"/>
      <c r="R40" s="104"/>
      <c r="S40" s="104"/>
      <c r="T40" s="104"/>
      <c r="U40" s="104"/>
      <c r="V40" s="108"/>
      <c r="W40" s="21"/>
      <c r="X40" s="40"/>
      <c r="Y40" s="76"/>
      <c r="Z40" s="76"/>
      <c r="AA40" s="43"/>
      <c r="AB40" s="43"/>
      <c r="AC40" s="89"/>
    </row>
    <row r="41" spans="1:30" s="31" customFormat="1" ht="40.35" hidden="1" customHeight="1">
      <c r="A41" s="100">
        <v>11</v>
      </c>
      <c r="B41" s="61" t="s">
        <v>49</v>
      </c>
      <c r="C41" s="101" t="s">
        <v>40</v>
      </c>
      <c r="D41" s="101"/>
      <c r="E41" s="109">
        <f>42.63-37</f>
        <v>5.6300000000000026</v>
      </c>
      <c r="F41" s="109"/>
      <c r="G41" s="104">
        <v>141076.03742000001</v>
      </c>
      <c r="H41" s="103">
        <f>E41</f>
        <v>5.6300000000000026</v>
      </c>
      <c r="I41" s="104"/>
      <c r="J41" s="104">
        <f>G41</f>
        <v>141076.03742000001</v>
      </c>
      <c r="K41" s="104"/>
      <c r="L41" s="104">
        <f>J41</f>
        <v>141076.03742000001</v>
      </c>
      <c r="M41" s="104"/>
      <c r="N41" s="104"/>
      <c r="O41" s="103"/>
      <c r="P41" s="104"/>
      <c r="Q41" s="104"/>
      <c r="R41" s="104"/>
      <c r="S41" s="104"/>
      <c r="T41" s="104"/>
      <c r="U41" s="104"/>
      <c r="V41" s="108"/>
      <c r="W41" s="21"/>
      <c r="X41" s="40"/>
      <c r="Y41" s="76"/>
      <c r="Z41" s="76"/>
      <c r="AA41" s="43"/>
      <c r="AB41" s="43"/>
      <c r="AC41" s="89"/>
    </row>
    <row r="42" spans="1:30" s="31" customFormat="1" ht="69.75" customHeight="1">
      <c r="A42" s="100">
        <v>11</v>
      </c>
      <c r="B42" s="61" t="s">
        <v>50</v>
      </c>
      <c r="C42" s="101" t="s">
        <v>23</v>
      </c>
      <c r="D42" s="101"/>
      <c r="E42" s="109">
        <f>4-0.015</f>
        <v>3.9849999999999999</v>
      </c>
      <c r="F42" s="109"/>
      <c r="G42" s="104">
        <v>103944.8</v>
      </c>
      <c r="H42" s="103"/>
      <c r="I42" s="104"/>
      <c r="J42" s="104"/>
      <c r="K42" s="104"/>
      <c r="L42" s="104"/>
      <c r="M42" s="104"/>
      <c r="N42" s="103">
        <f>E42</f>
        <v>3.9849999999999999</v>
      </c>
      <c r="O42" s="103"/>
      <c r="P42" s="104">
        <f>G42</f>
        <v>103944.8</v>
      </c>
      <c r="Q42" s="104">
        <v>97708.110499999995</v>
      </c>
      <c r="R42" s="104">
        <f>P42-Q42</f>
        <v>6236.6895000000077</v>
      </c>
      <c r="S42" s="104"/>
      <c r="T42" s="104"/>
      <c r="U42" s="104"/>
      <c r="V42" s="108"/>
      <c r="W42" s="21"/>
      <c r="X42" s="40"/>
      <c r="Y42" s="76"/>
      <c r="Z42" s="76"/>
      <c r="AA42" s="43"/>
      <c r="AB42" s="43"/>
      <c r="AC42" s="89"/>
    </row>
    <row r="43" spans="1:30" s="31" customFormat="1" ht="42" customHeight="1">
      <c r="A43" s="100">
        <v>12</v>
      </c>
      <c r="B43" s="61" t="s">
        <v>170</v>
      </c>
      <c r="C43" s="101" t="s">
        <v>26</v>
      </c>
      <c r="D43" s="101"/>
      <c r="E43" s="109">
        <v>3.5</v>
      </c>
      <c r="F43" s="109"/>
      <c r="G43" s="104">
        <v>147464.63389</v>
      </c>
      <c r="H43" s="103"/>
      <c r="I43" s="104" t="s">
        <v>39</v>
      </c>
      <c r="J43" s="104" t="s">
        <v>39</v>
      </c>
      <c r="K43" s="104"/>
      <c r="L43" s="104"/>
      <c r="M43" s="104" t="s">
        <v>39</v>
      </c>
      <c r="N43" s="103"/>
      <c r="O43" s="103"/>
      <c r="P43" s="104"/>
      <c r="Q43" s="104"/>
      <c r="R43" s="104"/>
      <c r="S43" s="104"/>
      <c r="T43" s="103">
        <f>E43</f>
        <v>3.5</v>
      </c>
      <c r="U43" s="104"/>
      <c r="V43" s="108">
        <f>G43</f>
        <v>147464.63389</v>
      </c>
      <c r="W43" s="21">
        <f t="shared" ref="W43" si="4">V43*0.879999983231406</f>
        <v>129768.87535042543</v>
      </c>
      <c r="X43" s="40">
        <f>V43-W43</f>
        <v>17695.75853957457</v>
      </c>
      <c r="Y43" s="76"/>
      <c r="Z43" s="76"/>
      <c r="AA43" s="43"/>
      <c r="AB43" s="43"/>
      <c r="AC43" s="89"/>
    </row>
    <row r="44" spans="1:30" s="31" customFormat="1" ht="27.75" customHeight="1">
      <c r="A44" s="114"/>
      <c r="B44" s="61" t="s">
        <v>45</v>
      </c>
      <c r="C44" s="101"/>
      <c r="D44" s="101"/>
      <c r="E44" s="115">
        <f>E42+E43</f>
        <v>7.4849999999999994</v>
      </c>
      <c r="F44" s="104"/>
      <c r="G44" s="115">
        <f>G42+G43</f>
        <v>251409.43388999999</v>
      </c>
      <c r="H44" s="115">
        <f>SUM(H41:H41)</f>
        <v>5.6300000000000026</v>
      </c>
      <c r="I44" s="109"/>
      <c r="J44" s="104">
        <f>SUM(J41:J41)</f>
        <v>141076.03742000001</v>
      </c>
      <c r="K44" s="104">
        <f>SUM(K41:K41)</f>
        <v>0</v>
      </c>
      <c r="L44" s="104">
        <f>SUM(L41:L41)</f>
        <v>141076.03742000001</v>
      </c>
      <c r="M44" s="104"/>
      <c r="N44" s="115">
        <f>N42+N43</f>
        <v>3.9849999999999999</v>
      </c>
      <c r="O44" s="103"/>
      <c r="P44" s="115">
        <f t="shared" ref="P44:R44" si="5">P42+P43</f>
        <v>103944.8</v>
      </c>
      <c r="Q44" s="115">
        <f t="shared" si="5"/>
        <v>97708.110499999995</v>
      </c>
      <c r="R44" s="115">
        <f t="shared" si="5"/>
        <v>6236.6895000000077</v>
      </c>
      <c r="S44" s="104"/>
      <c r="T44" s="115">
        <f>T42+T43</f>
        <v>3.5</v>
      </c>
      <c r="U44" s="104"/>
      <c r="V44" s="115">
        <f t="shared" ref="V44:X44" si="6">V42+V43</f>
        <v>147464.63389</v>
      </c>
      <c r="W44" s="42">
        <f t="shared" si="6"/>
        <v>129768.87535042543</v>
      </c>
      <c r="X44" s="42">
        <f t="shared" si="6"/>
        <v>17695.75853957457</v>
      </c>
      <c r="Y44" s="76"/>
      <c r="Z44" s="76"/>
      <c r="AA44" s="43"/>
      <c r="AB44" s="43"/>
      <c r="AC44" s="89"/>
    </row>
    <row r="45" spans="1:30" s="31" customFormat="1" ht="24.75" customHeight="1">
      <c r="A45" s="114"/>
      <c r="B45" s="61" t="s">
        <v>46</v>
      </c>
      <c r="C45" s="101"/>
      <c r="D45" s="101"/>
      <c r="E45" s="112">
        <f>N45</f>
        <v>5.3869999999999996</v>
      </c>
      <c r="F45" s="112"/>
      <c r="G45" s="104">
        <f>P45</f>
        <v>46784.5</v>
      </c>
      <c r="H45" s="115">
        <v>10.148</v>
      </c>
      <c r="I45" s="109"/>
      <c r="J45" s="104">
        <v>76863</v>
      </c>
      <c r="K45" s="104"/>
      <c r="L45" s="104">
        <f>J45</f>
        <v>76863</v>
      </c>
      <c r="M45" s="104"/>
      <c r="N45" s="116">
        <v>5.3869999999999996</v>
      </c>
      <c r="O45" s="103"/>
      <c r="P45" s="104">
        <v>46784.5</v>
      </c>
      <c r="Q45" s="103"/>
      <c r="R45" s="104">
        <f>P45</f>
        <v>46784.5</v>
      </c>
      <c r="S45" s="104"/>
      <c r="T45" s="104"/>
      <c r="U45" s="104"/>
      <c r="V45" s="108"/>
      <c r="W45" s="21"/>
      <c r="X45" s="40"/>
      <c r="Y45" s="76"/>
      <c r="Z45" s="76"/>
      <c r="AA45" s="43"/>
      <c r="AB45" s="43"/>
      <c r="AC45" s="89"/>
    </row>
    <row r="46" spans="1:30" s="31" customFormat="1" ht="29.25" customHeight="1">
      <c r="A46" s="172" t="s">
        <v>51</v>
      </c>
      <c r="B46" s="172"/>
      <c r="C46" s="101"/>
      <c r="D46" s="101"/>
      <c r="E46" s="113">
        <f>SUM(E44:E45)</f>
        <v>12.872</v>
      </c>
      <c r="F46" s="113"/>
      <c r="G46" s="105">
        <f>SUM(G44:G45)</f>
        <v>298193.93388999999</v>
      </c>
      <c r="H46" s="113">
        <f>SUM(H44:H45)</f>
        <v>15.778000000000002</v>
      </c>
      <c r="I46" s="113"/>
      <c r="J46" s="105">
        <f>SUM(J44:J45)</f>
        <v>217939.03742000001</v>
      </c>
      <c r="K46" s="105">
        <f>SUM(K44:K45)</f>
        <v>0</v>
      </c>
      <c r="L46" s="105">
        <f>SUM(L44:L45)</f>
        <v>217939.03742000001</v>
      </c>
      <c r="M46" s="105"/>
      <c r="N46" s="105">
        <f>SUM(N44:N45)</f>
        <v>9.3719999999999999</v>
      </c>
      <c r="O46" s="113"/>
      <c r="P46" s="105">
        <f>SUM(P44:P45)</f>
        <v>150729.29999999999</v>
      </c>
      <c r="Q46" s="105">
        <f>SUM(Q44:Q45)</f>
        <v>97708.110499999995</v>
      </c>
      <c r="R46" s="105">
        <f>SUM(R44:R45)</f>
        <v>53021.189500000008</v>
      </c>
      <c r="S46" s="105"/>
      <c r="T46" s="105">
        <f>SUM(T44:T45)</f>
        <v>3.5</v>
      </c>
      <c r="U46" s="113"/>
      <c r="V46" s="105">
        <f>SUM(V44:V45)</f>
        <v>147464.63389</v>
      </c>
      <c r="W46" s="68">
        <f>SUM(W44:W45)</f>
        <v>129768.87535042543</v>
      </c>
      <c r="X46" s="34">
        <f>SUM(X44:X45)</f>
        <v>17695.75853957457</v>
      </c>
      <c r="Y46" s="78"/>
      <c r="Z46" s="76"/>
      <c r="AA46" s="43"/>
      <c r="AB46" s="43"/>
      <c r="AC46" s="89"/>
    </row>
    <row r="47" spans="1:30" s="31" customFormat="1" ht="30" customHeight="1">
      <c r="A47" s="170" t="s">
        <v>52</v>
      </c>
      <c r="B47" s="170"/>
      <c r="C47" s="171"/>
      <c r="D47" s="171"/>
      <c r="E47" s="171"/>
      <c r="F47" s="107"/>
      <c r="G47" s="105"/>
      <c r="H47" s="101"/>
      <c r="I47" s="104"/>
      <c r="J47" s="104"/>
      <c r="K47" s="104"/>
      <c r="L47" s="104"/>
      <c r="M47" s="104"/>
      <c r="N47" s="104"/>
      <c r="O47" s="101"/>
      <c r="P47" s="104"/>
      <c r="Q47" s="104"/>
      <c r="R47" s="104"/>
      <c r="S47" s="104"/>
      <c r="T47" s="104"/>
      <c r="U47" s="104"/>
      <c r="V47" s="108"/>
      <c r="W47" s="21"/>
      <c r="X47" s="40"/>
      <c r="Y47" s="76"/>
      <c r="Z47" s="76"/>
      <c r="AA47" s="43"/>
      <c r="AB47" s="43"/>
      <c r="AC47" s="89"/>
    </row>
    <row r="48" spans="1:30" s="31" customFormat="1" ht="43.5" hidden="1" customHeight="1">
      <c r="A48" s="114"/>
      <c r="B48" s="61" t="s">
        <v>53</v>
      </c>
      <c r="C48" s="101" t="s">
        <v>26</v>
      </c>
      <c r="D48" s="101"/>
      <c r="E48" s="109"/>
      <c r="F48" s="109"/>
      <c r="G48" s="104"/>
      <c r="H48" s="101"/>
      <c r="I48" s="104"/>
      <c r="J48" s="104"/>
      <c r="K48" s="104"/>
      <c r="L48" s="104"/>
      <c r="M48" s="104"/>
      <c r="N48" s="104"/>
      <c r="O48" s="117"/>
      <c r="P48" s="118"/>
      <c r="Q48" s="118"/>
      <c r="R48" s="118"/>
      <c r="S48" s="118"/>
      <c r="T48" s="118"/>
      <c r="U48" s="104"/>
      <c r="V48" s="108"/>
      <c r="W48" s="21"/>
      <c r="X48" s="40"/>
      <c r="Y48" s="76"/>
      <c r="Z48" s="76"/>
      <c r="AA48" s="43"/>
      <c r="AB48" s="43"/>
      <c r="AC48" s="89"/>
    </row>
    <row r="49" spans="1:29" s="31" customFormat="1" ht="45" hidden="1" customHeight="1">
      <c r="A49" s="114">
        <v>10</v>
      </c>
      <c r="B49" s="61" t="s">
        <v>54</v>
      </c>
      <c r="C49" s="101" t="s">
        <v>23</v>
      </c>
      <c r="D49" s="101"/>
      <c r="E49" s="103"/>
      <c r="F49" s="103"/>
      <c r="G49" s="104"/>
      <c r="H49" s="103"/>
      <c r="I49" s="104"/>
      <c r="J49" s="104"/>
      <c r="K49" s="104"/>
      <c r="L49" s="104"/>
      <c r="M49" s="104"/>
      <c r="N49" s="104"/>
      <c r="O49" s="103"/>
      <c r="P49" s="104"/>
      <c r="Q49" s="104"/>
      <c r="R49" s="104"/>
      <c r="S49" s="104"/>
      <c r="T49" s="104"/>
      <c r="U49" s="104"/>
      <c r="V49" s="108"/>
      <c r="W49" s="21"/>
      <c r="X49" s="40"/>
      <c r="Y49" s="76"/>
      <c r="Z49" s="76"/>
      <c r="AA49" s="43"/>
      <c r="AB49" s="43"/>
      <c r="AC49" s="89"/>
    </row>
    <row r="50" spans="1:29" s="31" customFormat="1" ht="45" customHeight="1">
      <c r="A50" s="100">
        <v>13</v>
      </c>
      <c r="B50" s="61" t="s">
        <v>55</v>
      </c>
      <c r="C50" s="101" t="s">
        <v>23</v>
      </c>
      <c r="D50" s="101"/>
      <c r="E50" s="109">
        <f>0.9-0.032</f>
        <v>0.86799999999999999</v>
      </c>
      <c r="F50" s="103"/>
      <c r="G50" s="104">
        <v>22654.123029999999</v>
      </c>
      <c r="H50" s="103"/>
      <c r="I50" s="104"/>
      <c r="J50" s="104"/>
      <c r="K50" s="104"/>
      <c r="L50" s="104"/>
      <c r="M50" s="104"/>
      <c r="N50" s="109">
        <f>E50</f>
        <v>0.86799999999999999</v>
      </c>
      <c r="O50" s="103"/>
      <c r="P50" s="104">
        <f>G50</f>
        <v>22654.123029999999</v>
      </c>
      <c r="Q50" s="104">
        <v>21294.875319999999</v>
      </c>
      <c r="R50" s="104">
        <f>P50-Q50</f>
        <v>1359.2477099999996</v>
      </c>
      <c r="S50" s="104"/>
      <c r="T50" s="104"/>
      <c r="U50" s="104" t="s">
        <v>56</v>
      </c>
      <c r="V50" s="108" t="s">
        <v>42</v>
      </c>
      <c r="W50" s="21"/>
      <c r="X50" s="40"/>
      <c r="Y50" s="76"/>
      <c r="Z50" s="76"/>
      <c r="AA50" s="43"/>
      <c r="AB50" s="43"/>
      <c r="AC50" s="89"/>
    </row>
    <row r="51" spans="1:29" s="31" customFormat="1" ht="66" customHeight="1">
      <c r="A51" s="100">
        <v>14</v>
      </c>
      <c r="B51" s="61" t="s">
        <v>57</v>
      </c>
      <c r="C51" s="101" t="s">
        <v>23</v>
      </c>
      <c r="D51" s="101"/>
      <c r="E51" s="109">
        <v>4.7640000000000002</v>
      </c>
      <c r="F51" s="103"/>
      <c r="G51" s="104">
        <v>139832.94664000001</v>
      </c>
      <c r="H51" s="103"/>
      <c r="I51" s="104"/>
      <c r="J51" s="104"/>
      <c r="K51" s="104"/>
      <c r="L51" s="104"/>
      <c r="M51" s="104"/>
      <c r="N51" s="109">
        <f>E51</f>
        <v>4.7640000000000002</v>
      </c>
      <c r="O51" s="103"/>
      <c r="P51" s="104">
        <f>G51</f>
        <v>139832.94664000001</v>
      </c>
      <c r="Q51" s="104">
        <v>131442.96781999999</v>
      </c>
      <c r="R51" s="104">
        <f>P51-Q51</f>
        <v>8389.9788200000185</v>
      </c>
      <c r="S51" s="104"/>
      <c r="T51" s="104"/>
      <c r="U51" s="104"/>
      <c r="V51" s="108"/>
      <c r="W51" s="21"/>
      <c r="X51" s="40"/>
      <c r="Y51" s="76"/>
      <c r="Z51" s="76"/>
      <c r="AA51" s="43"/>
      <c r="AB51" s="43"/>
      <c r="AC51" s="89"/>
    </row>
    <row r="52" spans="1:29" s="31" customFormat="1" ht="45" customHeight="1">
      <c r="A52" s="100">
        <v>15</v>
      </c>
      <c r="B52" s="61" t="s">
        <v>59</v>
      </c>
      <c r="C52" s="101" t="s">
        <v>26</v>
      </c>
      <c r="D52" s="101"/>
      <c r="E52" s="109">
        <v>1.6</v>
      </c>
      <c r="F52" s="103"/>
      <c r="G52" s="104">
        <v>37589.777499999997</v>
      </c>
      <c r="H52" s="103"/>
      <c r="I52" s="104"/>
      <c r="J52" s="104"/>
      <c r="K52" s="104"/>
      <c r="L52" s="104"/>
      <c r="M52" s="104"/>
      <c r="N52" s="109"/>
      <c r="O52" s="103"/>
      <c r="P52" s="104"/>
      <c r="Q52" s="104"/>
      <c r="R52" s="104"/>
      <c r="S52" s="104"/>
      <c r="T52" s="103">
        <f>E52</f>
        <v>1.6</v>
      </c>
      <c r="U52" s="104"/>
      <c r="V52" s="108">
        <f>G52</f>
        <v>37589.777499999997</v>
      </c>
      <c r="W52" s="21">
        <f t="shared" ref="W52:W53" si="7">V52*0.879999983231406</f>
        <v>33079.003569672284</v>
      </c>
      <c r="X52" s="40">
        <f>V52-W52</f>
        <v>4510.7739303277122</v>
      </c>
      <c r="Y52" s="76"/>
      <c r="Z52" s="76"/>
      <c r="AA52" s="43"/>
      <c r="AB52" s="43"/>
      <c r="AC52" s="89"/>
    </row>
    <row r="53" spans="1:29" s="31" customFormat="1" ht="42.75" customHeight="1">
      <c r="A53" s="100">
        <v>16</v>
      </c>
      <c r="B53" s="61" t="s">
        <v>160</v>
      </c>
      <c r="C53" s="101" t="s">
        <v>23</v>
      </c>
      <c r="D53" s="101"/>
      <c r="E53" s="109">
        <f>8.187-4.1</f>
        <v>4.0869999999999997</v>
      </c>
      <c r="F53" s="103"/>
      <c r="G53" s="104">
        <f>185000+20000-2000</f>
        <v>203000</v>
      </c>
      <c r="H53" s="103"/>
      <c r="I53" s="104"/>
      <c r="J53" s="104"/>
      <c r="K53" s="104"/>
      <c r="L53" s="104" t="s">
        <v>42</v>
      </c>
      <c r="M53" s="104"/>
      <c r="N53" s="109"/>
      <c r="O53" s="103"/>
      <c r="P53" s="104"/>
      <c r="Q53" s="104"/>
      <c r="R53" s="104"/>
      <c r="S53" s="104"/>
      <c r="T53" s="103">
        <f>E53</f>
        <v>4.0869999999999997</v>
      </c>
      <c r="U53" s="104"/>
      <c r="V53" s="108">
        <f>G53</f>
        <v>203000</v>
      </c>
      <c r="W53" s="21">
        <f t="shared" si="7"/>
        <v>178639.99659597542</v>
      </c>
      <c r="X53" s="40">
        <f>V53-W53</f>
        <v>24360.003404024581</v>
      </c>
      <c r="Y53" s="76"/>
      <c r="Z53" s="76"/>
      <c r="AA53" s="43"/>
      <c r="AB53" s="43"/>
      <c r="AC53" s="89"/>
    </row>
    <row r="54" spans="1:29" s="31" customFormat="1" ht="39" customHeight="1">
      <c r="A54" s="172" t="s">
        <v>60</v>
      </c>
      <c r="B54" s="172"/>
      <c r="C54" s="172"/>
      <c r="D54" s="101"/>
      <c r="E54" s="113">
        <f>SUM(E50:E53)</f>
        <v>11.319000000000001</v>
      </c>
      <c r="F54" s="104"/>
      <c r="G54" s="105">
        <f>SUM(G50:G53)</f>
        <v>403076.84716999996</v>
      </c>
      <c r="H54" s="113"/>
      <c r="I54" s="113"/>
      <c r="J54" s="105"/>
      <c r="K54" s="105"/>
      <c r="L54" s="105"/>
      <c r="M54" s="105"/>
      <c r="N54" s="113">
        <f>SUM(N50:N51)</f>
        <v>5.6320000000000006</v>
      </c>
      <c r="O54" s="113"/>
      <c r="P54" s="105">
        <f>SUM(P50:P51)</f>
        <v>162487.06967</v>
      </c>
      <c r="Q54" s="105">
        <f>SUM(Q50:Q51)</f>
        <v>152737.84313999998</v>
      </c>
      <c r="R54" s="105">
        <f>SUM(R50:R51)</f>
        <v>9749.2265300000181</v>
      </c>
      <c r="S54" s="105"/>
      <c r="T54" s="113">
        <f>SUM(T52:T53)</f>
        <v>5.6869999999999994</v>
      </c>
      <c r="U54" s="113"/>
      <c r="V54" s="105">
        <f>SUM(V52:V53)</f>
        <v>240589.7775</v>
      </c>
      <c r="W54" s="68">
        <f>SUM(W52:W53)</f>
        <v>211719.00016564771</v>
      </c>
      <c r="X54" s="34">
        <f>SUM(X52:X53)</f>
        <v>28870.777334352293</v>
      </c>
      <c r="Y54" s="78"/>
      <c r="Z54" s="76"/>
      <c r="AA54" s="43"/>
      <c r="AB54" s="43"/>
      <c r="AC54" s="89"/>
    </row>
    <row r="55" spans="1:29" s="31" customFormat="1" ht="27" customHeight="1">
      <c r="A55" s="170" t="s">
        <v>61</v>
      </c>
      <c r="B55" s="170"/>
      <c r="C55" s="171"/>
      <c r="D55" s="171"/>
      <c r="E55" s="171"/>
      <c r="F55" s="107"/>
      <c r="G55" s="105"/>
      <c r="H55" s="101"/>
      <c r="I55" s="104"/>
      <c r="J55" s="104"/>
      <c r="K55" s="104"/>
      <c r="L55" s="104"/>
      <c r="M55" s="104"/>
      <c r="N55" s="104"/>
      <c r="O55" s="101"/>
      <c r="P55" s="104"/>
      <c r="Q55" s="104"/>
      <c r="R55" s="104"/>
      <c r="S55" s="104"/>
      <c r="T55" s="104"/>
      <c r="U55" s="104"/>
      <c r="V55" s="108"/>
      <c r="W55" s="21"/>
      <c r="X55" s="40"/>
      <c r="Y55" s="76"/>
      <c r="Z55" s="76"/>
      <c r="AA55" s="43"/>
      <c r="AB55" s="43"/>
      <c r="AC55" s="89"/>
    </row>
    <row r="56" spans="1:29" s="31" customFormat="1" ht="50.25" customHeight="1">
      <c r="A56" s="100">
        <v>17</v>
      </c>
      <c r="B56" s="110" t="s">
        <v>62</v>
      </c>
      <c r="C56" s="101" t="s">
        <v>63</v>
      </c>
      <c r="D56" s="101"/>
      <c r="E56" s="119">
        <v>3</v>
      </c>
      <c r="F56" s="119"/>
      <c r="G56" s="104">
        <v>77939.765920000005</v>
      </c>
      <c r="H56" s="103"/>
      <c r="I56" s="104"/>
      <c r="J56" s="104"/>
      <c r="K56" s="104"/>
      <c r="L56" s="104"/>
      <c r="M56" s="104"/>
      <c r="N56" s="119">
        <v>3</v>
      </c>
      <c r="O56" s="103"/>
      <c r="P56" s="104">
        <f>G56</f>
        <v>77939.765920000005</v>
      </c>
      <c r="Q56" s="104">
        <v>73263.378840000005</v>
      </c>
      <c r="R56" s="104">
        <f>P56-Q56</f>
        <v>4676.3870800000004</v>
      </c>
      <c r="S56" s="104"/>
      <c r="T56" s="104"/>
      <c r="U56" s="104"/>
      <c r="V56" s="108"/>
      <c r="W56" s="21"/>
      <c r="X56" s="40"/>
      <c r="Y56" s="76"/>
      <c r="Z56" s="76"/>
      <c r="AA56" s="43"/>
      <c r="AB56" s="43"/>
      <c r="AC56" s="89"/>
    </row>
    <row r="57" spans="1:29" s="31" customFormat="1" ht="48.75" customHeight="1">
      <c r="A57" s="100">
        <v>18</v>
      </c>
      <c r="B57" s="110" t="s">
        <v>64</v>
      </c>
      <c r="C57" s="101" t="s">
        <v>23</v>
      </c>
      <c r="D57" s="101"/>
      <c r="E57" s="119">
        <v>7</v>
      </c>
      <c r="F57" s="119"/>
      <c r="G57" s="104">
        <f>212000-5000</f>
        <v>207000</v>
      </c>
      <c r="H57" s="103"/>
      <c r="I57" s="104"/>
      <c r="J57" s="104"/>
      <c r="K57" s="104"/>
      <c r="L57" s="104"/>
      <c r="M57" s="104"/>
      <c r="N57" s="119"/>
      <c r="O57" s="103"/>
      <c r="P57" s="104"/>
      <c r="Q57" s="120"/>
      <c r="R57" s="104"/>
      <c r="S57" s="104"/>
      <c r="T57" s="103">
        <f>E57</f>
        <v>7</v>
      </c>
      <c r="U57" s="104"/>
      <c r="V57" s="108">
        <f>G57</f>
        <v>207000</v>
      </c>
      <c r="W57" s="21">
        <f t="shared" ref="W57" si="8">V57*0.879999983231406</f>
        <v>182159.99652890104</v>
      </c>
      <c r="X57" s="40">
        <f>V57-W57</f>
        <v>24840.003471098957</v>
      </c>
      <c r="Y57" s="76"/>
      <c r="Z57" s="76"/>
      <c r="AA57" s="43"/>
      <c r="AB57" s="43"/>
      <c r="AC57" s="89"/>
    </row>
    <row r="58" spans="1:29" s="31" customFormat="1" ht="30" customHeight="1">
      <c r="A58" s="172" t="s">
        <v>65</v>
      </c>
      <c r="B58" s="172"/>
      <c r="C58" s="101"/>
      <c r="D58" s="101"/>
      <c r="E58" s="113">
        <f>SUM(E56:E57)</f>
        <v>10</v>
      </c>
      <c r="F58" s="104"/>
      <c r="G58" s="105">
        <f>SUM(G56:G57)</f>
        <v>284939.76592000003</v>
      </c>
      <c r="H58" s="113"/>
      <c r="I58" s="113"/>
      <c r="J58" s="105"/>
      <c r="K58" s="105"/>
      <c r="L58" s="105"/>
      <c r="M58" s="105"/>
      <c r="N58" s="113">
        <f>SUM(N56:N56)</f>
        <v>3</v>
      </c>
      <c r="O58" s="113"/>
      <c r="P58" s="105">
        <f>SUM(P56:P56)</f>
        <v>77939.765920000005</v>
      </c>
      <c r="Q58" s="105">
        <f>SUM(Q56:Q56)</f>
        <v>73263.378840000005</v>
      </c>
      <c r="R58" s="105">
        <f>SUM(R56:R56)</f>
        <v>4676.3870800000004</v>
      </c>
      <c r="S58" s="105"/>
      <c r="T58" s="105">
        <f>SUM(T57)</f>
        <v>7</v>
      </c>
      <c r="U58" s="105"/>
      <c r="V58" s="106">
        <f>SUM(V57)</f>
        <v>207000</v>
      </c>
      <c r="W58" s="68">
        <f>SUM(W57)</f>
        <v>182159.99652890104</v>
      </c>
      <c r="X58" s="34">
        <f>SUM(X57)</f>
        <v>24840.003471098957</v>
      </c>
      <c r="Y58" s="78"/>
      <c r="Z58" s="76"/>
      <c r="AA58" s="43"/>
      <c r="AB58" s="43"/>
      <c r="AC58" s="89"/>
    </row>
    <row r="59" spans="1:29" s="31" customFormat="1" ht="30.75" customHeight="1">
      <c r="A59" s="170" t="s">
        <v>66</v>
      </c>
      <c r="B59" s="170"/>
      <c r="C59" s="171"/>
      <c r="D59" s="171"/>
      <c r="E59" s="171"/>
      <c r="F59" s="107"/>
      <c r="G59" s="105"/>
      <c r="H59" s="101"/>
      <c r="I59" s="104"/>
      <c r="J59" s="104"/>
      <c r="K59" s="104"/>
      <c r="L59" s="104"/>
      <c r="M59" s="104"/>
      <c r="N59" s="104"/>
      <c r="O59" s="101"/>
      <c r="P59" s="104"/>
      <c r="Q59" s="104"/>
      <c r="R59" s="104"/>
      <c r="S59" s="104"/>
      <c r="T59" s="104"/>
      <c r="U59" s="104"/>
      <c r="V59" s="108"/>
      <c r="W59" s="21"/>
      <c r="X59" s="40"/>
      <c r="Y59" s="76"/>
      <c r="Z59" s="76"/>
      <c r="AA59" s="43"/>
      <c r="AB59" s="43"/>
      <c r="AC59" s="89"/>
    </row>
    <row r="60" spans="1:29" s="31" customFormat="1" ht="49.5" hidden="1" customHeight="1">
      <c r="A60" s="114">
        <v>19</v>
      </c>
      <c r="B60" s="110" t="s">
        <v>67</v>
      </c>
      <c r="C60" s="101" t="s">
        <v>23</v>
      </c>
      <c r="D60" s="101"/>
      <c r="E60" s="117"/>
      <c r="F60" s="117"/>
      <c r="G60" s="104"/>
      <c r="H60" s="117"/>
      <c r="I60" s="104"/>
      <c r="J60" s="104"/>
      <c r="K60" s="104"/>
      <c r="L60" s="104"/>
      <c r="M60" s="104"/>
      <c r="N60" s="104"/>
      <c r="O60" s="103"/>
      <c r="P60" s="104"/>
      <c r="Q60" s="104"/>
      <c r="R60" s="104"/>
      <c r="S60" s="104"/>
      <c r="T60" s="104"/>
      <c r="U60" s="104"/>
      <c r="V60" s="108"/>
      <c r="W60" s="21"/>
      <c r="X60" s="40"/>
      <c r="Y60" s="76"/>
      <c r="Z60" s="76"/>
      <c r="AA60" s="43"/>
      <c r="AB60" s="43"/>
      <c r="AC60" s="89"/>
    </row>
    <row r="61" spans="1:29" s="31" customFormat="1" ht="32.25" hidden="1" customHeight="1">
      <c r="A61" s="100">
        <v>20</v>
      </c>
      <c r="B61" s="110" t="s">
        <v>68</v>
      </c>
      <c r="C61" s="101" t="s">
        <v>23</v>
      </c>
      <c r="D61" s="101"/>
      <c r="E61" s="117">
        <v>3.6</v>
      </c>
      <c r="F61" s="117"/>
      <c r="G61" s="104">
        <v>89465.626940000002</v>
      </c>
      <c r="H61" s="103">
        <f>E61</f>
        <v>3.6</v>
      </c>
      <c r="I61" s="118"/>
      <c r="J61" s="118">
        <f>G61</f>
        <v>89465.626940000002</v>
      </c>
      <c r="K61" s="118"/>
      <c r="L61" s="118">
        <f>J61</f>
        <v>89465.626940000002</v>
      </c>
      <c r="M61" s="118"/>
      <c r="N61" s="104"/>
      <c r="O61" s="103"/>
      <c r="P61" s="118"/>
      <c r="Q61" s="118"/>
      <c r="R61" s="118"/>
      <c r="S61" s="118"/>
      <c r="T61" s="118"/>
      <c r="U61" s="104"/>
      <c r="V61" s="108"/>
      <c r="W61" s="21"/>
      <c r="X61" s="40"/>
      <c r="Y61" s="76"/>
      <c r="Z61" s="76"/>
      <c r="AA61" s="43"/>
      <c r="AB61" s="43"/>
      <c r="AC61" s="89"/>
    </row>
    <row r="62" spans="1:29" s="31" customFormat="1" ht="43.5" hidden="1" customHeight="1">
      <c r="A62" s="100"/>
      <c r="B62" s="110" t="s">
        <v>69</v>
      </c>
      <c r="C62" s="101" t="s">
        <v>23</v>
      </c>
      <c r="D62" s="101"/>
      <c r="E62" s="117"/>
      <c r="F62" s="117"/>
      <c r="G62" s="104"/>
      <c r="H62" s="117"/>
      <c r="I62" s="104"/>
      <c r="J62" s="104"/>
      <c r="K62" s="104"/>
      <c r="L62" s="104"/>
      <c r="M62" s="104"/>
      <c r="N62" s="104"/>
      <c r="O62" s="103"/>
      <c r="P62" s="118"/>
      <c r="Q62" s="118"/>
      <c r="R62" s="118"/>
      <c r="S62" s="118"/>
      <c r="T62" s="118"/>
      <c r="U62" s="104"/>
      <c r="V62" s="108"/>
      <c r="W62" s="21"/>
      <c r="X62" s="40"/>
      <c r="Y62" s="76"/>
      <c r="Z62" s="76"/>
      <c r="AA62" s="43"/>
      <c r="AB62" s="43"/>
      <c r="AC62" s="89"/>
    </row>
    <row r="63" spans="1:29" s="31" customFormat="1" ht="63" hidden="1" customHeight="1">
      <c r="A63" s="100"/>
      <c r="B63" s="110" t="s">
        <v>70</v>
      </c>
      <c r="C63" s="101" t="s">
        <v>23</v>
      </c>
      <c r="D63" s="101"/>
      <c r="E63" s="117"/>
      <c r="F63" s="117"/>
      <c r="G63" s="104"/>
      <c r="H63" s="117"/>
      <c r="I63" s="104"/>
      <c r="J63" s="104"/>
      <c r="K63" s="104"/>
      <c r="L63" s="104"/>
      <c r="M63" s="104"/>
      <c r="N63" s="104"/>
      <c r="O63" s="103"/>
      <c r="P63" s="104"/>
      <c r="Q63" s="104"/>
      <c r="R63" s="104"/>
      <c r="S63" s="104"/>
      <c r="T63" s="104"/>
      <c r="U63" s="104"/>
      <c r="V63" s="108"/>
      <c r="W63" s="21"/>
      <c r="X63" s="40"/>
      <c r="Y63" s="76"/>
      <c r="Z63" s="76"/>
      <c r="AA63" s="43"/>
      <c r="AB63" s="43"/>
      <c r="AC63" s="89"/>
    </row>
    <row r="64" spans="1:29" s="31" customFormat="1" ht="63" hidden="1" customHeight="1">
      <c r="A64" s="100">
        <v>23</v>
      </c>
      <c r="B64" s="110" t="s">
        <v>71</v>
      </c>
      <c r="C64" s="101" t="s">
        <v>23</v>
      </c>
      <c r="D64" s="101"/>
      <c r="E64" s="117"/>
      <c r="F64" s="117"/>
      <c r="G64" s="104"/>
      <c r="H64" s="117"/>
      <c r="I64" s="104"/>
      <c r="J64" s="104"/>
      <c r="K64" s="104"/>
      <c r="L64" s="104"/>
      <c r="M64" s="104"/>
      <c r="N64" s="104"/>
      <c r="O64" s="103"/>
      <c r="P64" s="104"/>
      <c r="Q64" s="104"/>
      <c r="R64" s="104"/>
      <c r="S64" s="104"/>
      <c r="T64" s="104"/>
      <c r="U64" s="104"/>
      <c r="V64" s="108"/>
      <c r="W64" s="21"/>
      <c r="X64" s="40"/>
      <c r="Y64" s="76"/>
      <c r="Z64" s="76"/>
      <c r="AA64" s="43"/>
      <c r="AB64" s="43"/>
      <c r="AC64" s="89"/>
    </row>
    <row r="65" spans="1:29" s="31" customFormat="1" ht="66.75" customHeight="1">
      <c r="A65" s="100">
        <v>19</v>
      </c>
      <c r="B65" s="110" t="s">
        <v>72</v>
      </c>
      <c r="C65" s="101" t="s">
        <v>23</v>
      </c>
      <c r="D65" s="101"/>
      <c r="E65" s="117">
        <f>14-6.85</f>
        <v>7.15</v>
      </c>
      <c r="F65" s="117"/>
      <c r="G65" s="104">
        <v>211713.8075</v>
      </c>
      <c r="H65" s="117"/>
      <c r="I65" s="104"/>
      <c r="J65" s="104"/>
      <c r="K65" s="104"/>
      <c r="L65" s="104"/>
      <c r="M65" s="104"/>
      <c r="N65" s="103">
        <f>E65</f>
        <v>7.15</v>
      </c>
      <c r="O65" s="103"/>
      <c r="P65" s="104">
        <f>G65</f>
        <v>211713.8075</v>
      </c>
      <c r="Q65" s="104">
        <v>199010.97599000001</v>
      </c>
      <c r="R65" s="104">
        <f>P65-Q65</f>
        <v>12702.831509999989</v>
      </c>
      <c r="S65" s="104"/>
      <c r="T65" s="104"/>
      <c r="U65" s="104"/>
      <c r="V65" s="108"/>
      <c r="W65" s="21"/>
      <c r="X65" s="40"/>
      <c r="Y65" s="76"/>
      <c r="Z65" s="76"/>
      <c r="AA65" s="43"/>
      <c r="AB65" s="43"/>
      <c r="AC65" s="89"/>
    </row>
    <row r="66" spans="1:29" s="31" customFormat="1" ht="63.75" customHeight="1">
      <c r="A66" s="100">
        <v>20</v>
      </c>
      <c r="B66" s="110" t="s">
        <v>73</v>
      </c>
      <c r="C66" s="101" t="s">
        <v>23</v>
      </c>
      <c r="D66" s="101"/>
      <c r="E66" s="117">
        <v>6.85</v>
      </c>
      <c r="F66" s="117"/>
      <c r="G66" s="104">
        <v>199456.93004000001</v>
      </c>
      <c r="H66" s="117"/>
      <c r="I66" s="104"/>
      <c r="J66" s="104"/>
      <c r="K66" s="104"/>
      <c r="L66" s="104"/>
      <c r="M66" s="104"/>
      <c r="N66" s="103">
        <f>E66</f>
        <v>6.85</v>
      </c>
      <c r="O66" s="103"/>
      <c r="P66" s="104">
        <f>G66</f>
        <v>199456.93004000001</v>
      </c>
      <c r="Q66" s="104">
        <v>187489.51134999999</v>
      </c>
      <c r="R66" s="104">
        <f>P66-Q66</f>
        <v>11967.41869000002</v>
      </c>
      <c r="S66" s="104"/>
      <c r="T66" s="103"/>
      <c r="U66" s="104"/>
      <c r="V66" s="108"/>
      <c r="W66" s="21"/>
      <c r="X66" s="40"/>
      <c r="Y66" s="76"/>
      <c r="Z66" s="76"/>
      <c r="AA66" s="43"/>
      <c r="AB66" s="43"/>
      <c r="AC66" s="89"/>
    </row>
    <row r="67" spans="1:29" s="31" customFormat="1" ht="32.25" customHeight="1">
      <c r="A67" s="100">
        <v>21</v>
      </c>
      <c r="B67" s="110" t="s">
        <v>74</v>
      </c>
      <c r="C67" s="101" t="s">
        <v>36</v>
      </c>
      <c r="D67" s="101"/>
      <c r="E67" s="117">
        <v>5</v>
      </c>
      <c r="F67" s="117"/>
      <c r="G67" s="104">
        <v>285934.38983</v>
      </c>
      <c r="H67" s="117"/>
      <c r="I67" s="104"/>
      <c r="J67" s="104"/>
      <c r="K67" s="104"/>
      <c r="L67" s="104"/>
      <c r="M67" s="104"/>
      <c r="N67" s="103"/>
      <c r="O67" s="103"/>
      <c r="P67" s="104"/>
      <c r="Q67" s="104"/>
      <c r="R67" s="104"/>
      <c r="S67" s="104"/>
      <c r="T67" s="103">
        <f>E67</f>
        <v>5</v>
      </c>
      <c r="U67" s="104"/>
      <c r="V67" s="108">
        <f>G67</f>
        <v>285934.38983</v>
      </c>
      <c r="W67" s="21">
        <f t="shared" ref="W67" si="9">V67*0.879999983231406</f>
        <v>251622.25825568233</v>
      </c>
      <c r="X67" s="40">
        <f>V67-W67</f>
        <v>34312.131574317667</v>
      </c>
      <c r="Y67" s="76"/>
      <c r="Z67" s="76"/>
      <c r="AA67" s="43"/>
      <c r="AB67" s="43"/>
      <c r="AC67" s="89"/>
    </row>
    <row r="68" spans="1:29" s="31" customFormat="1" ht="34.5" customHeight="1">
      <c r="A68" s="172" t="s">
        <v>75</v>
      </c>
      <c r="B68" s="172"/>
      <c r="C68" s="101"/>
      <c r="D68" s="101"/>
      <c r="E68" s="113">
        <f>E65+E66+E67</f>
        <v>19</v>
      </c>
      <c r="F68" s="104"/>
      <c r="G68" s="105">
        <f>G65+G66+G67</f>
        <v>697105.12737</v>
      </c>
      <c r="H68" s="113">
        <f>SUM(H60:H62)</f>
        <v>3.6</v>
      </c>
      <c r="I68" s="105"/>
      <c r="J68" s="105">
        <f>SUM(J60:J62)</f>
        <v>89465.626940000002</v>
      </c>
      <c r="K68" s="105"/>
      <c r="L68" s="105">
        <f>SUM(L60:L62)</f>
        <v>89465.626940000002</v>
      </c>
      <c r="M68" s="105"/>
      <c r="N68" s="113">
        <f>SUM(N65:N67)</f>
        <v>14</v>
      </c>
      <c r="O68" s="113"/>
      <c r="P68" s="105">
        <f>SUM(P65:P67)</f>
        <v>411170.73754</v>
      </c>
      <c r="Q68" s="105">
        <f>SUM(Q65:Q67)</f>
        <v>386500.48733999999</v>
      </c>
      <c r="R68" s="105">
        <f>SUM(R65:R66)</f>
        <v>24670.250200000009</v>
      </c>
      <c r="S68" s="105"/>
      <c r="T68" s="105">
        <f>SUM(T66:T67)</f>
        <v>5</v>
      </c>
      <c r="U68" s="105"/>
      <c r="V68" s="106">
        <f>SUM(V66:V67)</f>
        <v>285934.38983</v>
      </c>
      <c r="W68" s="68">
        <f>SUM(W66:W67)</f>
        <v>251622.25825568233</v>
      </c>
      <c r="X68" s="34">
        <f>SUM(X66:X67)</f>
        <v>34312.131574317667</v>
      </c>
      <c r="Y68" s="78"/>
      <c r="Z68" s="76"/>
      <c r="AA68" s="43"/>
      <c r="AB68" s="43"/>
      <c r="AC68" s="89"/>
    </row>
    <row r="69" spans="1:29" s="31" customFormat="1" ht="29.25" hidden="1" customHeight="1">
      <c r="A69" s="174" t="s">
        <v>76</v>
      </c>
      <c r="B69" s="174"/>
      <c r="C69" s="171"/>
      <c r="D69" s="171"/>
      <c r="E69" s="171"/>
      <c r="F69" s="107"/>
      <c r="G69" s="105"/>
      <c r="H69" s="101"/>
      <c r="I69" s="104"/>
      <c r="J69" s="104"/>
      <c r="K69" s="104"/>
      <c r="L69" s="104"/>
      <c r="M69" s="104"/>
      <c r="N69" s="104"/>
      <c r="O69" s="101"/>
      <c r="P69" s="104"/>
      <c r="Q69" s="104"/>
      <c r="R69" s="104"/>
      <c r="S69" s="104"/>
      <c r="T69" s="104"/>
      <c r="U69" s="104"/>
      <c r="V69" s="108"/>
      <c r="W69" s="21"/>
      <c r="X69" s="40"/>
      <c r="Y69" s="76"/>
      <c r="Z69" s="76"/>
      <c r="AA69" s="43"/>
      <c r="AB69" s="43"/>
      <c r="AC69" s="89"/>
    </row>
    <row r="70" spans="1:29" s="31" customFormat="1" ht="48" hidden="1" customHeight="1">
      <c r="A70" s="114"/>
      <c r="B70" s="110" t="s">
        <v>77</v>
      </c>
      <c r="C70" s="101" t="s">
        <v>23</v>
      </c>
      <c r="D70" s="101"/>
      <c r="E70" s="117"/>
      <c r="F70" s="117"/>
      <c r="G70" s="104"/>
      <c r="H70" s="103"/>
      <c r="I70" s="104"/>
      <c r="J70" s="104"/>
      <c r="K70" s="104"/>
      <c r="L70" s="104"/>
      <c r="M70" s="104"/>
      <c r="N70" s="104"/>
      <c r="O70" s="103"/>
      <c r="P70" s="118"/>
      <c r="Q70" s="118"/>
      <c r="R70" s="118"/>
      <c r="S70" s="118"/>
      <c r="T70" s="118"/>
      <c r="U70" s="104"/>
      <c r="V70" s="108"/>
      <c r="W70" s="21"/>
      <c r="X70" s="40"/>
      <c r="Y70" s="76"/>
      <c r="Z70" s="76"/>
      <c r="AA70" s="43"/>
      <c r="AB70" s="43"/>
      <c r="AC70" s="89"/>
    </row>
    <row r="71" spans="1:29" s="31" customFormat="1" ht="55.5" hidden="1" customHeight="1">
      <c r="A71" s="121"/>
      <c r="B71" s="110"/>
      <c r="C71" s="101"/>
      <c r="D71" s="101"/>
      <c r="E71" s="117"/>
      <c r="F71" s="119"/>
      <c r="G71" s="104"/>
      <c r="H71" s="117"/>
      <c r="I71" s="104"/>
      <c r="J71" s="104"/>
      <c r="K71" s="104"/>
      <c r="L71" s="104"/>
      <c r="M71" s="104"/>
      <c r="N71" s="119"/>
      <c r="O71" s="103"/>
      <c r="P71" s="104"/>
      <c r="Q71" s="104"/>
      <c r="R71" s="104"/>
      <c r="S71" s="104"/>
      <c r="T71" s="104"/>
      <c r="U71" s="104"/>
      <c r="V71" s="108"/>
      <c r="W71" s="21"/>
      <c r="X71" s="40"/>
      <c r="Y71" s="76"/>
      <c r="Z71" s="76"/>
      <c r="AA71" s="43"/>
      <c r="AB71" s="43"/>
      <c r="AC71" s="89"/>
    </row>
    <row r="72" spans="1:29" s="31" customFormat="1" ht="32.25" hidden="1" customHeight="1">
      <c r="A72" s="177" t="s">
        <v>78</v>
      </c>
      <c r="B72" s="177"/>
      <c r="C72" s="177"/>
      <c r="D72" s="122"/>
      <c r="E72" s="113">
        <f>SUM(E71:E71)</f>
        <v>0</v>
      </c>
      <c r="F72" s="113"/>
      <c r="G72" s="105">
        <f>SUM(G71:G71)</f>
        <v>0</v>
      </c>
      <c r="H72" s="113">
        <f>SUM(H70:H70)</f>
        <v>0</v>
      </c>
      <c r="I72" s="113"/>
      <c r="J72" s="105">
        <f>SUM(J70:J70)</f>
        <v>0</v>
      </c>
      <c r="K72" s="105">
        <f>SUM(K70:K70)</f>
        <v>0</v>
      </c>
      <c r="L72" s="105">
        <f>SUM(L70:L70)</f>
        <v>0</v>
      </c>
      <c r="M72" s="105"/>
      <c r="N72" s="113"/>
      <c r="O72" s="113"/>
      <c r="P72" s="105"/>
      <c r="Q72" s="105"/>
      <c r="R72" s="105"/>
      <c r="S72" s="105"/>
      <c r="T72" s="105"/>
      <c r="U72" s="105"/>
      <c r="V72" s="106"/>
      <c r="W72" s="68"/>
      <c r="X72" s="34"/>
      <c r="Y72" s="76"/>
      <c r="Z72" s="76"/>
      <c r="AA72" s="43"/>
      <c r="AB72" s="43"/>
      <c r="AC72" s="89"/>
    </row>
    <row r="73" spans="1:29" s="31" customFormat="1" ht="27.75" customHeight="1">
      <c r="A73" s="170" t="s">
        <v>79</v>
      </c>
      <c r="B73" s="170"/>
      <c r="C73" s="171"/>
      <c r="D73" s="171"/>
      <c r="E73" s="171"/>
      <c r="F73" s="107"/>
      <c r="G73" s="105"/>
      <c r="H73" s="101"/>
      <c r="I73" s="104"/>
      <c r="J73" s="104"/>
      <c r="K73" s="104"/>
      <c r="L73" s="104"/>
      <c r="M73" s="104"/>
      <c r="N73" s="104"/>
      <c r="O73" s="101"/>
      <c r="P73" s="104"/>
      <c r="Q73" s="104"/>
      <c r="R73" s="104"/>
      <c r="S73" s="104"/>
      <c r="T73" s="104"/>
      <c r="U73" s="104"/>
      <c r="V73" s="108"/>
      <c r="W73" s="21"/>
      <c r="X73" s="40"/>
      <c r="Y73" s="76"/>
      <c r="Z73" s="76"/>
      <c r="AA73" s="43"/>
      <c r="AB73" s="43"/>
      <c r="AC73" s="89"/>
    </row>
    <row r="74" spans="1:29" s="31" customFormat="1" ht="34.5" customHeight="1">
      <c r="A74" s="100">
        <v>22</v>
      </c>
      <c r="B74" s="110" t="s">
        <v>80</v>
      </c>
      <c r="C74" s="101" t="s">
        <v>40</v>
      </c>
      <c r="D74" s="107"/>
      <c r="E74" s="117">
        <v>3.9</v>
      </c>
      <c r="F74" s="104"/>
      <c r="G74" s="104">
        <v>113123.16094</v>
      </c>
      <c r="H74" s="101"/>
      <c r="I74" s="104"/>
      <c r="J74" s="104"/>
      <c r="K74" s="104"/>
      <c r="L74" s="104"/>
      <c r="M74" s="104"/>
      <c r="N74" s="104">
        <f>E74</f>
        <v>3.9</v>
      </c>
      <c r="O74" s="101"/>
      <c r="P74" s="104">
        <f>G74</f>
        <v>113123.16094</v>
      </c>
      <c r="Q74" s="104">
        <v>106335.76965</v>
      </c>
      <c r="R74" s="104">
        <f>P74-Q74</f>
        <v>6787.3912899999996</v>
      </c>
      <c r="S74" s="104"/>
      <c r="T74" s="104"/>
      <c r="U74" s="104"/>
      <c r="V74" s="108"/>
      <c r="W74" s="21"/>
      <c r="X74" s="40"/>
      <c r="Y74" s="76"/>
      <c r="Z74" s="76"/>
      <c r="AA74" s="43"/>
      <c r="AB74" s="43"/>
      <c r="AC74" s="89"/>
    </row>
    <row r="75" spans="1:29" s="31" customFormat="1" ht="43.5" customHeight="1">
      <c r="A75" s="100">
        <v>23</v>
      </c>
      <c r="B75" s="110" t="s">
        <v>81</v>
      </c>
      <c r="C75" s="101" t="s">
        <v>36</v>
      </c>
      <c r="D75" s="107"/>
      <c r="E75" s="117">
        <v>6</v>
      </c>
      <c r="F75" s="104"/>
      <c r="G75" s="104">
        <v>277200.30455</v>
      </c>
      <c r="H75" s="101"/>
      <c r="I75" s="104"/>
      <c r="J75" s="104"/>
      <c r="K75" s="104"/>
      <c r="L75" s="104" t="s">
        <v>39</v>
      </c>
      <c r="M75" s="104"/>
      <c r="N75" s="103"/>
      <c r="O75" s="101"/>
      <c r="P75" s="104"/>
      <c r="Q75" s="104"/>
      <c r="R75" s="104"/>
      <c r="S75" s="104"/>
      <c r="T75" s="103">
        <f>E75</f>
        <v>6</v>
      </c>
      <c r="U75" s="104"/>
      <c r="V75" s="108">
        <f>G75</f>
        <v>277200.30455</v>
      </c>
      <c r="W75" s="21">
        <f t="shared" ref="W75" si="10">V75*0.879999983231406</f>
        <v>243936.26335574064</v>
      </c>
      <c r="X75" s="40">
        <f>V75-W75</f>
        <v>33264.041194259364</v>
      </c>
      <c r="Y75" s="76"/>
      <c r="Z75" s="76"/>
      <c r="AA75" s="43"/>
      <c r="AB75" s="43"/>
      <c r="AC75" s="89"/>
    </row>
    <row r="76" spans="1:29" s="31" customFormat="1" ht="24.75" customHeight="1">
      <c r="A76" s="121"/>
      <c r="B76" s="61" t="s">
        <v>46</v>
      </c>
      <c r="C76" s="101"/>
      <c r="D76" s="101"/>
      <c r="E76" s="112">
        <f>N76</f>
        <v>1.825</v>
      </c>
      <c r="F76" s="112"/>
      <c r="G76" s="104">
        <f>P76</f>
        <v>88461</v>
      </c>
      <c r="H76" s="104">
        <v>4.5209999999999999</v>
      </c>
      <c r="I76" s="104"/>
      <c r="J76" s="104">
        <v>186480</v>
      </c>
      <c r="K76" s="104"/>
      <c r="L76" s="104">
        <f>J76</f>
        <v>186480</v>
      </c>
      <c r="M76" s="104"/>
      <c r="N76" s="104">
        <v>1.825</v>
      </c>
      <c r="O76" s="101"/>
      <c r="P76" s="104">
        <v>88461</v>
      </c>
      <c r="Q76" s="104"/>
      <c r="R76" s="104">
        <f>P76</f>
        <v>88461</v>
      </c>
      <c r="S76" s="104"/>
      <c r="T76" s="104"/>
      <c r="U76" s="104"/>
      <c r="V76" s="108"/>
      <c r="W76" s="21"/>
      <c r="X76" s="40"/>
      <c r="Y76" s="76"/>
      <c r="Z76" s="76"/>
      <c r="AA76" s="43"/>
      <c r="AB76" s="43"/>
      <c r="AC76" s="89"/>
    </row>
    <row r="77" spans="1:29" s="31" customFormat="1" ht="33" customHeight="1">
      <c r="A77" s="175" t="s">
        <v>82</v>
      </c>
      <c r="B77" s="180"/>
      <c r="C77" s="176"/>
      <c r="D77" s="101"/>
      <c r="E77" s="113">
        <f>SUM(E74:E76)</f>
        <v>11.725</v>
      </c>
      <c r="F77" s="113"/>
      <c r="G77" s="105">
        <f>SUM(G74:G76)</f>
        <v>478784.46548999997</v>
      </c>
      <c r="H77" s="113">
        <f>SUM(H76:H76)</f>
        <v>4.5209999999999999</v>
      </c>
      <c r="I77" s="105"/>
      <c r="J77" s="105">
        <f>SUM(J76:J76)</f>
        <v>186480</v>
      </c>
      <c r="K77" s="105"/>
      <c r="L77" s="105">
        <f>SUM(L76:L76)</f>
        <v>186480</v>
      </c>
      <c r="M77" s="105"/>
      <c r="N77" s="113">
        <f>SUM(N74:N76)</f>
        <v>5.7249999999999996</v>
      </c>
      <c r="O77" s="105"/>
      <c r="P77" s="105">
        <f>SUM(P74:P76)</f>
        <v>201584.16094</v>
      </c>
      <c r="Q77" s="105">
        <f>SUM(Q74:Q76)</f>
        <v>106335.76965</v>
      </c>
      <c r="R77" s="105">
        <f>SUM(R74:R76)</f>
        <v>95248.39129</v>
      </c>
      <c r="S77" s="105"/>
      <c r="T77" s="113">
        <f>SUM(T74:T76)</f>
        <v>6</v>
      </c>
      <c r="U77" s="113"/>
      <c r="V77" s="105">
        <f>SUM(V74:V76)</f>
        <v>277200.30455</v>
      </c>
      <c r="W77" s="68">
        <f>SUM(W74:W76)</f>
        <v>243936.26335574064</v>
      </c>
      <c r="X77" s="34">
        <f>SUM(X74:X76)</f>
        <v>33264.041194259364</v>
      </c>
      <c r="Y77" s="78"/>
      <c r="Z77" s="76"/>
      <c r="AA77" s="43"/>
      <c r="AB77" s="43"/>
      <c r="AC77" s="89"/>
    </row>
    <row r="78" spans="1:29" s="31" customFormat="1" ht="30" customHeight="1">
      <c r="A78" s="170" t="s">
        <v>83</v>
      </c>
      <c r="B78" s="170"/>
      <c r="C78" s="171"/>
      <c r="D78" s="171"/>
      <c r="E78" s="171"/>
      <c r="F78" s="107"/>
      <c r="G78" s="105"/>
      <c r="H78" s="101"/>
      <c r="I78" s="104"/>
      <c r="J78" s="104"/>
      <c r="K78" s="104"/>
      <c r="L78" s="104"/>
      <c r="M78" s="104"/>
      <c r="N78" s="104"/>
      <c r="O78" s="101"/>
      <c r="P78" s="104"/>
      <c r="Q78" s="104"/>
      <c r="R78" s="104"/>
      <c r="S78" s="104"/>
      <c r="T78" s="104"/>
      <c r="U78" s="104"/>
      <c r="V78" s="108"/>
      <c r="W78" s="21"/>
      <c r="X78" s="40"/>
      <c r="Y78" s="76"/>
      <c r="Z78" s="76"/>
      <c r="AA78" s="43"/>
      <c r="AB78" s="43"/>
      <c r="AC78" s="89"/>
    </row>
    <row r="79" spans="1:29" s="31" customFormat="1" ht="43.5" hidden="1" customHeight="1">
      <c r="A79" s="100">
        <v>26</v>
      </c>
      <c r="B79" s="110" t="s">
        <v>84</v>
      </c>
      <c r="C79" s="101" t="s">
        <v>23</v>
      </c>
      <c r="D79" s="101"/>
      <c r="E79" s="117">
        <v>2.2999999999999998</v>
      </c>
      <c r="F79" s="117"/>
      <c r="G79" s="104">
        <v>58857.782299999999</v>
      </c>
      <c r="H79" s="103">
        <f>E79</f>
        <v>2.2999999999999998</v>
      </c>
      <c r="I79" s="104"/>
      <c r="J79" s="104">
        <f>G79</f>
        <v>58857.782299999999</v>
      </c>
      <c r="K79" s="104"/>
      <c r="L79" s="104">
        <f>J79</f>
        <v>58857.782299999999</v>
      </c>
      <c r="M79" s="104"/>
      <c r="N79" s="117"/>
      <c r="O79" s="103"/>
      <c r="P79" s="104"/>
      <c r="Q79" s="104"/>
      <c r="R79" s="104"/>
      <c r="S79" s="104"/>
      <c r="T79" s="104"/>
      <c r="U79" s="104"/>
      <c r="V79" s="108"/>
      <c r="W79" s="21"/>
      <c r="X79" s="40"/>
      <c r="Y79" s="76"/>
      <c r="Z79" s="76"/>
      <c r="AA79" s="43"/>
      <c r="AB79" s="43"/>
      <c r="AC79" s="89"/>
    </row>
    <row r="80" spans="1:29" s="31" customFormat="1" ht="68.25" customHeight="1">
      <c r="A80" s="100">
        <v>24</v>
      </c>
      <c r="B80" s="110" t="s">
        <v>177</v>
      </c>
      <c r="C80" s="101" t="s">
        <v>23</v>
      </c>
      <c r="D80" s="101"/>
      <c r="E80" s="117">
        <f>3.07+4.3</f>
        <v>7.3699999999999992</v>
      </c>
      <c r="F80" s="117"/>
      <c r="G80" s="104">
        <f>P80+V80</f>
        <v>189182.91736999998</v>
      </c>
      <c r="H80" s="103"/>
      <c r="I80" s="104"/>
      <c r="J80" s="104"/>
      <c r="K80" s="104"/>
      <c r="L80" s="104"/>
      <c r="M80" s="104"/>
      <c r="N80" s="103">
        <v>3.07</v>
      </c>
      <c r="O80" s="103"/>
      <c r="P80" s="104">
        <v>77174.5</v>
      </c>
      <c r="Q80" s="104">
        <v>72544.028879999998</v>
      </c>
      <c r="R80" s="104">
        <f>P80-Q80</f>
        <v>4630.471120000002</v>
      </c>
      <c r="S80" s="104"/>
      <c r="T80" s="104">
        <v>4.3</v>
      </c>
      <c r="U80" s="104"/>
      <c r="V80" s="108">
        <v>112008.41737</v>
      </c>
      <c r="W80" s="21">
        <f t="shared" ref="W80" si="11">V80*0.879999983231406</f>
        <v>98567.405407376325</v>
      </c>
      <c r="X80" s="40">
        <f>V80-W80</f>
        <v>13441.01196262367</v>
      </c>
      <c r="Y80" s="76"/>
      <c r="Z80" s="76"/>
      <c r="AA80" s="43"/>
      <c r="AB80" s="43"/>
      <c r="AC80" s="89"/>
    </row>
    <row r="81" spans="1:29" s="31" customFormat="1" ht="33" hidden="1" customHeight="1">
      <c r="A81" s="100">
        <v>26</v>
      </c>
      <c r="B81" s="110" t="s">
        <v>85</v>
      </c>
      <c r="C81" s="101" t="s">
        <v>23</v>
      </c>
      <c r="D81" s="101"/>
      <c r="E81" s="117"/>
      <c r="F81" s="117"/>
      <c r="G81" s="104"/>
      <c r="H81" s="103"/>
      <c r="I81" s="104"/>
      <c r="J81" s="104"/>
      <c r="K81" s="104"/>
      <c r="L81" s="104"/>
      <c r="M81" s="104"/>
      <c r="N81" s="103"/>
      <c r="O81" s="103"/>
      <c r="P81" s="104"/>
      <c r="Q81" s="123"/>
      <c r="R81" s="104"/>
      <c r="S81" s="104"/>
      <c r="T81" s="103">
        <f>E81</f>
        <v>0</v>
      </c>
      <c r="U81" s="104"/>
      <c r="V81" s="108">
        <f>G81</f>
        <v>0</v>
      </c>
      <c r="W81" s="21">
        <f>V81*0.88</f>
        <v>0</v>
      </c>
      <c r="X81" s="40">
        <f>V81-W81</f>
        <v>0</v>
      </c>
      <c r="Y81" s="76"/>
      <c r="Z81" s="76"/>
      <c r="AA81" s="43"/>
      <c r="AB81" s="43"/>
      <c r="AC81" s="89"/>
    </row>
    <row r="82" spans="1:29" s="31" customFormat="1" ht="33.75" customHeight="1">
      <c r="A82" s="172" t="s">
        <v>86</v>
      </c>
      <c r="B82" s="172"/>
      <c r="C82" s="101"/>
      <c r="D82" s="101"/>
      <c r="E82" s="113">
        <f>E80</f>
        <v>7.3699999999999992</v>
      </c>
      <c r="F82" s="113"/>
      <c r="G82" s="105">
        <f>G80</f>
        <v>189182.91736999998</v>
      </c>
      <c r="H82" s="113">
        <f>SUM(H79:H80)</f>
        <v>2.2999999999999998</v>
      </c>
      <c r="I82" s="113"/>
      <c r="J82" s="105">
        <f>SUM(J79:J80)</f>
        <v>58857.782299999999</v>
      </c>
      <c r="K82" s="105"/>
      <c r="L82" s="105">
        <f>SUM(L79:L80)</f>
        <v>58857.782299999999</v>
      </c>
      <c r="M82" s="105"/>
      <c r="N82" s="113">
        <f>SUM(N79:N80)</f>
        <v>3.07</v>
      </c>
      <c r="O82" s="113"/>
      <c r="P82" s="105">
        <f>SUM(P79:P80)</f>
        <v>77174.5</v>
      </c>
      <c r="Q82" s="105">
        <f>SUM(Q79:Q80)</f>
        <v>72544.028879999998</v>
      </c>
      <c r="R82" s="105">
        <f>SUM(R79:R80)</f>
        <v>4630.471120000002</v>
      </c>
      <c r="S82" s="105"/>
      <c r="T82" s="105">
        <f>SUM(T80:T81)</f>
        <v>4.3</v>
      </c>
      <c r="U82" s="105"/>
      <c r="V82" s="106">
        <f>SUM(V80:V81)</f>
        <v>112008.41737</v>
      </c>
      <c r="W82" s="68">
        <f>SUM(W80:W81)</f>
        <v>98567.405407376325</v>
      </c>
      <c r="X82" s="34">
        <f>SUM(X80:X81)</f>
        <v>13441.01196262367</v>
      </c>
      <c r="Y82" s="78"/>
      <c r="Z82" s="76"/>
      <c r="AA82" s="43"/>
      <c r="AB82" s="43"/>
      <c r="AC82" s="89"/>
    </row>
    <row r="83" spans="1:29" s="31" customFormat="1" ht="33" customHeight="1">
      <c r="A83" s="170" t="s">
        <v>87</v>
      </c>
      <c r="B83" s="170"/>
      <c r="C83" s="171"/>
      <c r="D83" s="171"/>
      <c r="E83" s="171"/>
      <c r="F83" s="107"/>
      <c r="G83" s="105"/>
      <c r="H83" s="101"/>
      <c r="I83" s="104"/>
      <c r="J83" s="104"/>
      <c r="K83" s="104"/>
      <c r="L83" s="104"/>
      <c r="M83" s="104"/>
      <c r="N83" s="104"/>
      <c r="O83" s="101"/>
      <c r="P83" s="104"/>
      <c r="Q83" s="104"/>
      <c r="R83" s="104"/>
      <c r="S83" s="104"/>
      <c r="T83" s="104"/>
      <c r="U83" s="104"/>
      <c r="V83" s="108"/>
      <c r="W83" s="21"/>
      <c r="X83" s="40"/>
      <c r="Y83" s="76"/>
      <c r="Z83" s="76"/>
      <c r="AA83" s="43"/>
      <c r="AB83" s="43"/>
      <c r="AC83" s="89"/>
    </row>
    <row r="84" spans="1:29" s="31" customFormat="1" ht="54.75" customHeight="1">
      <c r="A84" s="100">
        <v>25</v>
      </c>
      <c r="B84" s="110" t="s">
        <v>88</v>
      </c>
      <c r="C84" s="101" t="s">
        <v>23</v>
      </c>
      <c r="D84" s="101"/>
      <c r="E84" s="117">
        <v>4.0999999999999996</v>
      </c>
      <c r="F84" s="117"/>
      <c r="G84" s="104">
        <v>128306.87396</v>
      </c>
      <c r="H84" s="103"/>
      <c r="I84" s="104"/>
      <c r="J84" s="104"/>
      <c r="K84" s="104"/>
      <c r="L84" s="104"/>
      <c r="M84" s="104"/>
      <c r="N84" s="103">
        <v>4.0999999999999996</v>
      </c>
      <c r="O84" s="103"/>
      <c r="P84" s="123">
        <f>G84</f>
        <v>128306.87396</v>
      </c>
      <c r="Q84" s="104">
        <v>120608.45967</v>
      </c>
      <c r="R84" s="104">
        <f>P84-Q84</f>
        <v>7698.4142900000006</v>
      </c>
      <c r="S84" s="104"/>
      <c r="T84" s="104"/>
      <c r="U84" s="104"/>
      <c r="V84" s="108"/>
      <c r="W84" s="21"/>
      <c r="X84" s="40"/>
      <c r="Y84" s="76"/>
      <c r="Z84" s="76"/>
      <c r="AA84" s="43"/>
      <c r="AB84" s="43"/>
      <c r="AC84" s="89"/>
    </row>
    <row r="85" spans="1:29" s="31" customFormat="1" ht="44.25" hidden="1" customHeight="1">
      <c r="A85" s="100">
        <v>27</v>
      </c>
      <c r="B85" s="110" t="s">
        <v>89</v>
      </c>
      <c r="C85" s="101"/>
      <c r="D85" s="101"/>
      <c r="E85" s="117"/>
      <c r="F85" s="117"/>
      <c r="G85" s="104"/>
      <c r="H85" s="103"/>
      <c r="I85" s="104"/>
      <c r="J85" s="104"/>
      <c r="K85" s="104"/>
      <c r="L85" s="104"/>
      <c r="M85" s="104"/>
      <c r="N85" s="103"/>
      <c r="O85" s="103"/>
      <c r="P85" s="123"/>
      <c r="Q85" s="123"/>
      <c r="R85" s="104"/>
      <c r="S85" s="104"/>
      <c r="T85" s="103"/>
      <c r="U85" s="104"/>
      <c r="V85" s="108"/>
      <c r="W85" s="21">
        <f>V85*0.88</f>
        <v>0</v>
      </c>
      <c r="X85" s="40">
        <f>V85-W85</f>
        <v>0</v>
      </c>
      <c r="Y85" s="76"/>
      <c r="Z85" s="76"/>
      <c r="AA85" s="43"/>
      <c r="AB85" s="43"/>
      <c r="AC85" s="89"/>
    </row>
    <row r="86" spans="1:29" s="31" customFormat="1" ht="44.25" customHeight="1">
      <c r="A86" s="100">
        <v>26</v>
      </c>
      <c r="B86" s="110" t="s">
        <v>167</v>
      </c>
      <c r="C86" s="101" t="s">
        <v>23</v>
      </c>
      <c r="D86" s="101"/>
      <c r="E86" s="117">
        <v>2.1</v>
      </c>
      <c r="F86" s="117"/>
      <c r="G86" s="104">
        <v>38675.228329999998</v>
      </c>
      <c r="H86" s="103"/>
      <c r="I86" s="104"/>
      <c r="J86" s="104"/>
      <c r="K86" s="104"/>
      <c r="L86" s="104"/>
      <c r="M86" s="104"/>
      <c r="N86" s="103"/>
      <c r="O86" s="103"/>
      <c r="P86" s="123"/>
      <c r="Q86" s="123"/>
      <c r="R86" s="104"/>
      <c r="S86" s="104"/>
      <c r="T86" s="103">
        <f>E86</f>
        <v>2.1</v>
      </c>
      <c r="U86" s="104"/>
      <c r="V86" s="108">
        <f>G86</f>
        <v>38675.228329999998</v>
      </c>
      <c r="W86" s="21">
        <f t="shared" ref="W86" si="12">V86*0.879999983231406</f>
        <v>34034.200281870799</v>
      </c>
      <c r="X86" s="40">
        <f>V86-W86</f>
        <v>4641.0280481291993</v>
      </c>
      <c r="Y86" s="76"/>
      <c r="Z86" s="76"/>
      <c r="AA86" s="43"/>
      <c r="AB86" s="43"/>
      <c r="AC86" s="89"/>
    </row>
    <row r="87" spans="1:29" s="31" customFormat="1" ht="29.25" customHeight="1">
      <c r="A87" s="121"/>
      <c r="B87" s="61" t="s">
        <v>45</v>
      </c>
      <c r="C87" s="101"/>
      <c r="D87" s="101"/>
      <c r="E87" s="123">
        <f>SUM(E84:E86)</f>
        <v>6.1999999999999993</v>
      </c>
      <c r="F87" s="104"/>
      <c r="G87" s="123">
        <f>SUM(G84:G86)</f>
        <v>166982.10229000001</v>
      </c>
      <c r="H87" s="103"/>
      <c r="I87" s="104"/>
      <c r="J87" s="104"/>
      <c r="K87" s="104"/>
      <c r="L87" s="104"/>
      <c r="M87" s="104"/>
      <c r="N87" s="123">
        <f>SUM(N84:N84)</f>
        <v>4.0999999999999996</v>
      </c>
      <c r="O87" s="117"/>
      <c r="P87" s="123">
        <f>SUM(P84:P84)</f>
        <v>128306.87396</v>
      </c>
      <c r="Q87" s="123">
        <f>SUM(Q84:Q84)</f>
        <v>120608.45967</v>
      </c>
      <c r="R87" s="123">
        <f>SUM(R84:R84)</f>
        <v>7698.4142900000006</v>
      </c>
      <c r="S87" s="104"/>
      <c r="T87" s="103">
        <f>SUM(T85:T86)</f>
        <v>2.1</v>
      </c>
      <c r="U87" s="104"/>
      <c r="V87" s="108">
        <f>SUM(V85:V86)</f>
        <v>38675.228329999998</v>
      </c>
      <c r="W87" s="21">
        <f>SUM(W85:W86)</f>
        <v>34034.200281870799</v>
      </c>
      <c r="X87" s="40">
        <f>SUM(X85:X86)</f>
        <v>4641.0280481291993</v>
      </c>
      <c r="Y87" s="76"/>
      <c r="Z87" s="76"/>
      <c r="AA87" s="43"/>
      <c r="AB87" s="43"/>
      <c r="AC87" s="89"/>
    </row>
    <row r="88" spans="1:29" s="31" customFormat="1" ht="24" customHeight="1">
      <c r="A88" s="114"/>
      <c r="B88" s="61" t="s">
        <v>46</v>
      </c>
      <c r="C88" s="101"/>
      <c r="D88" s="101"/>
      <c r="E88" s="112">
        <f>N88</f>
        <v>4.7569999999999997</v>
      </c>
      <c r="F88" s="112"/>
      <c r="G88" s="104">
        <f>P88</f>
        <v>93131.9</v>
      </c>
      <c r="H88" s="104">
        <v>9.5839999999999996</v>
      </c>
      <c r="I88" s="104"/>
      <c r="J88" s="104">
        <v>196556</v>
      </c>
      <c r="K88" s="104"/>
      <c r="L88" s="104">
        <f>J88</f>
        <v>196556</v>
      </c>
      <c r="M88" s="104"/>
      <c r="N88" s="123">
        <v>4.7569999999999997</v>
      </c>
      <c r="O88" s="117"/>
      <c r="P88" s="123">
        <v>93131.9</v>
      </c>
      <c r="Q88" s="123"/>
      <c r="R88" s="123">
        <f>P88</f>
        <v>93131.9</v>
      </c>
      <c r="S88" s="104"/>
      <c r="T88" s="104"/>
      <c r="U88" s="104"/>
      <c r="V88" s="108"/>
      <c r="W88" s="21"/>
      <c r="X88" s="40"/>
      <c r="Y88" s="76"/>
      <c r="Z88" s="76"/>
      <c r="AA88" s="43"/>
      <c r="AB88" s="43"/>
      <c r="AC88" s="89"/>
    </row>
    <row r="89" spans="1:29" s="31" customFormat="1" ht="33.75" customHeight="1">
      <c r="A89" s="172" t="s">
        <v>90</v>
      </c>
      <c r="B89" s="172"/>
      <c r="C89" s="101"/>
      <c r="D89" s="101"/>
      <c r="E89" s="105">
        <f>SUM(E87:E88)</f>
        <v>10.956999999999999</v>
      </c>
      <c r="F89" s="105"/>
      <c r="G89" s="105">
        <f>SUM(G87:G88)</f>
        <v>260114.00229</v>
      </c>
      <c r="H89" s="105">
        <f>SUM(H87:H88)</f>
        <v>9.5839999999999996</v>
      </c>
      <c r="I89" s="105"/>
      <c r="J89" s="105">
        <f>SUM(J87:J88)</f>
        <v>196556</v>
      </c>
      <c r="K89" s="105"/>
      <c r="L89" s="105">
        <f>SUM(L87:L88)</f>
        <v>196556</v>
      </c>
      <c r="M89" s="105"/>
      <c r="N89" s="105">
        <f>SUM(N87:N88)</f>
        <v>8.8569999999999993</v>
      </c>
      <c r="O89" s="105"/>
      <c r="P89" s="105">
        <f>SUM(P87:P88)</f>
        <v>221438.77395999999</v>
      </c>
      <c r="Q89" s="105">
        <f>SUM(Q87:Q88)</f>
        <v>120608.45967</v>
      </c>
      <c r="R89" s="105">
        <f>SUM(R87:R88)</f>
        <v>100830.31428999999</v>
      </c>
      <c r="S89" s="105"/>
      <c r="T89" s="105">
        <f>SUM(T87:T88)</f>
        <v>2.1</v>
      </c>
      <c r="U89" s="105"/>
      <c r="V89" s="105">
        <f>SUM(V87:V88)</f>
        <v>38675.228329999998</v>
      </c>
      <c r="W89" s="68">
        <f>SUM(W87:W88)</f>
        <v>34034.200281870799</v>
      </c>
      <c r="X89" s="34">
        <f>SUM(X87:X88)</f>
        <v>4641.0280481291993</v>
      </c>
      <c r="Y89" s="78"/>
      <c r="Z89" s="76"/>
      <c r="AA89" s="43"/>
      <c r="AB89" s="43"/>
      <c r="AC89" s="89"/>
    </row>
    <row r="90" spans="1:29" s="31" customFormat="1" ht="26.25" customHeight="1">
      <c r="A90" s="170" t="s">
        <v>91</v>
      </c>
      <c r="B90" s="170"/>
      <c r="C90" s="171"/>
      <c r="D90" s="171"/>
      <c r="E90" s="171"/>
      <c r="F90" s="107"/>
      <c r="G90" s="105"/>
      <c r="H90" s="101"/>
      <c r="I90" s="104"/>
      <c r="J90" s="104"/>
      <c r="K90" s="104"/>
      <c r="L90" s="104"/>
      <c r="M90" s="104"/>
      <c r="N90" s="104"/>
      <c r="O90" s="101"/>
      <c r="P90" s="104"/>
      <c r="Q90" s="104"/>
      <c r="R90" s="104"/>
      <c r="S90" s="104"/>
      <c r="T90" s="104"/>
      <c r="U90" s="104"/>
      <c r="V90" s="108"/>
      <c r="W90" s="21"/>
      <c r="X90" s="40"/>
      <c r="Y90" s="76"/>
      <c r="Z90" s="76"/>
      <c r="AA90" s="43"/>
      <c r="AB90" s="43"/>
      <c r="AC90" s="89"/>
    </row>
    <row r="91" spans="1:29" s="31" customFormat="1" ht="46.5" hidden="1" customHeight="1">
      <c r="A91" s="100">
        <v>30</v>
      </c>
      <c r="B91" s="124" t="s">
        <v>92</v>
      </c>
      <c r="C91" s="101" t="s">
        <v>23</v>
      </c>
      <c r="D91" s="107"/>
      <c r="E91" s="117">
        <v>3.9</v>
      </c>
      <c r="F91" s="107"/>
      <c r="G91" s="104">
        <v>76711.600330000001</v>
      </c>
      <c r="H91" s="117">
        <f>E91</f>
        <v>3.9</v>
      </c>
      <c r="I91" s="104"/>
      <c r="J91" s="104">
        <f>G91</f>
        <v>76711.600330000001</v>
      </c>
      <c r="K91" s="104"/>
      <c r="L91" s="104">
        <f>J91</f>
        <v>76711.600330000001</v>
      </c>
      <c r="M91" s="104"/>
      <c r="N91" s="104"/>
      <c r="O91" s="101"/>
      <c r="P91" s="104"/>
      <c r="Q91" s="104"/>
      <c r="R91" s="104"/>
      <c r="S91" s="104"/>
      <c r="T91" s="104"/>
      <c r="U91" s="104"/>
      <c r="V91" s="108"/>
      <c r="W91" s="21"/>
      <c r="X91" s="40"/>
      <c r="Y91" s="76"/>
      <c r="Z91" s="76"/>
      <c r="AA91" s="43"/>
      <c r="AB91" s="43"/>
      <c r="AC91" s="89"/>
    </row>
    <row r="92" spans="1:29" s="31" customFormat="1" ht="27" customHeight="1">
      <c r="A92" s="100">
        <v>27</v>
      </c>
      <c r="B92" s="124" t="s">
        <v>93</v>
      </c>
      <c r="C92" s="101" t="s">
        <v>23</v>
      </c>
      <c r="D92" s="107"/>
      <c r="E92" s="117">
        <v>4.2</v>
      </c>
      <c r="F92" s="107"/>
      <c r="G92" s="104">
        <v>131455.49917</v>
      </c>
      <c r="H92" s="117"/>
      <c r="I92" s="104"/>
      <c r="J92" s="104"/>
      <c r="K92" s="104"/>
      <c r="L92" s="104"/>
      <c r="M92" s="104"/>
      <c r="N92" s="103">
        <v>4.2</v>
      </c>
      <c r="O92" s="101"/>
      <c r="P92" s="104">
        <f>G92</f>
        <v>131455.49917</v>
      </c>
      <c r="Q92" s="104">
        <v>123568.16731999999</v>
      </c>
      <c r="R92" s="104">
        <f>P92-Q92</f>
        <v>7887.3318500000023</v>
      </c>
      <c r="S92" s="104"/>
      <c r="T92" s="104"/>
      <c r="U92" s="104"/>
      <c r="V92" s="108"/>
      <c r="W92" s="21"/>
      <c r="X92" s="40"/>
      <c r="Y92" s="76"/>
      <c r="Z92" s="76"/>
      <c r="AA92" s="43"/>
      <c r="AB92" s="43"/>
      <c r="AC92" s="89"/>
    </row>
    <row r="93" spans="1:29" s="31" customFormat="1" ht="44.25" customHeight="1">
      <c r="A93" s="100">
        <v>28</v>
      </c>
      <c r="B93" s="124" t="s">
        <v>168</v>
      </c>
      <c r="C93" s="101" t="s">
        <v>23</v>
      </c>
      <c r="D93" s="107"/>
      <c r="E93" s="117">
        <v>1.2</v>
      </c>
      <c r="F93" s="107"/>
      <c r="G93" s="104">
        <v>41183.639380000001</v>
      </c>
      <c r="H93" s="117"/>
      <c r="I93" s="104"/>
      <c r="J93" s="104"/>
      <c r="K93" s="104"/>
      <c r="L93" s="104"/>
      <c r="M93" s="104"/>
      <c r="N93" s="103"/>
      <c r="O93" s="101"/>
      <c r="P93" s="104"/>
      <c r="Q93" s="104"/>
      <c r="R93" s="104"/>
      <c r="S93" s="104"/>
      <c r="T93" s="103">
        <f>E93</f>
        <v>1.2</v>
      </c>
      <c r="U93" s="104"/>
      <c r="V93" s="108">
        <f>G93</f>
        <v>41183.639380000001</v>
      </c>
      <c r="W93" s="21">
        <f t="shared" ref="W93:W94" si="13">V93*0.879999983231406</f>
        <v>36241.601963808273</v>
      </c>
      <c r="X93" s="40">
        <f>V93-W93</f>
        <v>4942.037416191728</v>
      </c>
      <c r="Y93" s="76"/>
      <c r="Z93" s="76"/>
      <c r="AA93" s="43"/>
      <c r="AB93" s="43"/>
      <c r="AC93" s="89"/>
    </row>
    <row r="94" spans="1:29" s="31" customFormat="1" ht="42.75" customHeight="1">
      <c r="A94" s="100">
        <v>29</v>
      </c>
      <c r="B94" s="124" t="s">
        <v>94</v>
      </c>
      <c r="C94" s="101" t="s">
        <v>26</v>
      </c>
      <c r="D94" s="107"/>
      <c r="E94" s="117">
        <v>2.1</v>
      </c>
      <c r="F94" s="107"/>
      <c r="G94" s="104">
        <v>62161.646289999997</v>
      </c>
      <c r="H94" s="117"/>
      <c r="I94" s="104"/>
      <c r="J94" s="104"/>
      <c r="K94" s="104"/>
      <c r="L94" s="104"/>
      <c r="M94" s="104"/>
      <c r="N94" s="103"/>
      <c r="O94" s="101"/>
      <c r="P94" s="104"/>
      <c r="Q94" s="104"/>
      <c r="R94" s="104"/>
      <c r="S94" s="104"/>
      <c r="T94" s="103">
        <f>E94</f>
        <v>2.1</v>
      </c>
      <c r="U94" s="104"/>
      <c r="V94" s="108">
        <f>G94</f>
        <v>62161.646289999997</v>
      </c>
      <c r="W94" s="21">
        <f t="shared" si="13"/>
        <v>54702.247692836594</v>
      </c>
      <c r="X94" s="40">
        <f>V94-W94</f>
        <v>7459.3985971634029</v>
      </c>
      <c r="Y94" s="76"/>
      <c r="Z94" s="76"/>
      <c r="AA94" s="43"/>
      <c r="AB94" s="43"/>
      <c r="AC94" s="89"/>
    </row>
    <row r="95" spans="1:29" s="31" customFormat="1" ht="27.75" customHeight="1">
      <c r="A95" s="172" t="s">
        <v>95</v>
      </c>
      <c r="B95" s="172"/>
      <c r="C95" s="101"/>
      <c r="D95" s="101"/>
      <c r="E95" s="113">
        <f>SUM(E92:E94)</f>
        <v>7.5</v>
      </c>
      <c r="F95" s="104"/>
      <c r="G95" s="105">
        <f>SUM(G92:G94)</f>
        <v>234800.78484000001</v>
      </c>
      <c r="H95" s="113">
        <f>SUM(H91)</f>
        <v>3.9</v>
      </c>
      <c r="I95" s="113"/>
      <c r="J95" s="105">
        <f>SUM(J91)</f>
        <v>76711.600330000001</v>
      </c>
      <c r="K95" s="105"/>
      <c r="L95" s="105">
        <f>SUM(L91)</f>
        <v>76711.600330000001</v>
      </c>
      <c r="M95" s="105"/>
      <c r="N95" s="113">
        <f>SUM(N91:N92)</f>
        <v>4.2</v>
      </c>
      <c r="O95" s="113"/>
      <c r="P95" s="105">
        <f>P92</f>
        <v>131455.49917</v>
      </c>
      <c r="Q95" s="105">
        <f>Q92</f>
        <v>123568.16731999999</v>
      </c>
      <c r="R95" s="105">
        <f>R92</f>
        <v>7887.3318500000023</v>
      </c>
      <c r="S95" s="105"/>
      <c r="T95" s="105">
        <f>SUM(T93:T94)</f>
        <v>3.3</v>
      </c>
      <c r="U95" s="105"/>
      <c r="V95" s="106">
        <f>SUM(V93:V94)</f>
        <v>103345.28567</v>
      </c>
      <c r="W95" s="68">
        <f>SUM(W93:W94)</f>
        <v>90943.849656644859</v>
      </c>
      <c r="X95" s="34">
        <f>SUM(X93:X94)</f>
        <v>12401.436013355131</v>
      </c>
      <c r="Y95" s="78"/>
      <c r="Z95" s="76"/>
      <c r="AA95" s="43"/>
      <c r="AB95" s="43"/>
      <c r="AC95" s="89"/>
    </row>
    <row r="96" spans="1:29" s="31" customFormat="1" ht="27" customHeight="1">
      <c r="A96" s="170" t="s">
        <v>24</v>
      </c>
      <c r="B96" s="170"/>
      <c r="C96" s="171"/>
      <c r="D96" s="171"/>
      <c r="E96" s="171"/>
      <c r="F96" s="107"/>
      <c r="G96" s="105"/>
      <c r="H96" s="101"/>
      <c r="I96" s="104"/>
      <c r="J96" s="104"/>
      <c r="K96" s="104"/>
      <c r="L96" s="104"/>
      <c r="M96" s="104"/>
      <c r="N96" s="104"/>
      <c r="O96" s="101"/>
      <c r="P96" s="104"/>
      <c r="Q96" s="104"/>
      <c r="R96" s="104"/>
      <c r="S96" s="104"/>
      <c r="T96" s="104"/>
      <c r="U96" s="104"/>
      <c r="V96" s="108"/>
      <c r="W96" s="21"/>
      <c r="X96" s="40"/>
      <c r="Y96" s="76"/>
      <c r="Z96" s="76"/>
      <c r="AA96" s="43"/>
      <c r="AB96" s="43"/>
      <c r="AC96" s="89"/>
    </row>
    <row r="97" spans="1:30" s="31" customFormat="1" ht="42" customHeight="1">
      <c r="A97" s="100">
        <v>30</v>
      </c>
      <c r="B97" s="124" t="s">
        <v>96</v>
      </c>
      <c r="C97" s="101" t="s">
        <v>23</v>
      </c>
      <c r="D97" s="101"/>
      <c r="E97" s="117">
        <v>4.4000000000000004</v>
      </c>
      <c r="F97" s="119"/>
      <c r="G97" s="104">
        <v>118184.28718</v>
      </c>
      <c r="H97" s="103"/>
      <c r="I97" s="104"/>
      <c r="J97" s="104"/>
      <c r="K97" s="104"/>
      <c r="L97" s="104"/>
      <c r="M97" s="104"/>
      <c r="N97" s="119">
        <v>4.4000000000000004</v>
      </c>
      <c r="O97" s="104"/>
      <c r="P97" s="104">
        <f>G97</f>
        <v>118184.28718</v>
      </c>
      <c r="Q97" s="104">
        <v>111093.22824</v>
      </c>
      <c r="R97" s="104">
        <f>P97-Q97</f>
        <v>7091.0589400000026</v>
      </c>
      <c r="S97" s="104"/>
      <c r="T97" s="104"/>
      <c r="U97" s="104"/>
      <c r="V97" s="108"/>
      <c r="W97" s="21"/>
      <c r="X97" s="40"/>
      <c r="Y97" s="76"/>
      <c r="Z97" s="76"/>
      <c r="AA97" s="43"/>
      <c r="AB97" s="43"/>
      <c r="AC97" s="89"/>
    </row>
    <row r="98" spans="1:30" s="31" customFormat="1" ht="63" customHeight="1">
      <c r="A98" s="100">
        <v>31</v>
      </c>
      <c r="B98" s="124" t="s">
        <v>97</v>
      </c>
      <c r="C98" s="101" t="s">
        <v>23</v>
      </c>
      <c r="D98" s="101"/>
      <c r="E98" s="117">
        <v>5.4</v>
      </c>
      <c r="F98" s="119"/>
      <c r="G98" s="104">
        <v>113109.11095</v>
      </c>
      <c r="H98" s="103"/>
      <c r="I98" s="104"/>
      <c r="J98" s="104"/>
      <c r="K98" s="104"/>
      <c r="L98" s="104"/>
      <c r="M98" s="104"/>
      <c r="N98" s="119"/>
      <c r="O98" s="104"/>
      <c r="P98" s="104"/>
      <c r="Q98" s="104"/>
      <c r="R98" s="104"/>
      <c r="S98" s="104"/>
      <c r="T98" s="103">
        <f>E98</f>
        <v>5.4</v>
      </c>
      <c r="U98" s="104"/>
      <c r="V98" s="108">
        <f>G98</f>
        <v>113109.11095</v>
      </c>
      <c r="W98" s="21">
        <f t="shared" ref="W98" si="14">V98*0.879999983231406</f>
        <v>99536.015739319249</v>
      </c>
      <c r="X98" s="40">
        <f>V98-W98</f>
        <v>13573.095210680753</v>
      </c>
      <c r="Y98" s="76"/>
      <c r="Z98" s="76"/>
      <c r="AA98" s="43"/>
      <c r="AB98" s="43"/>
      <c r="AC98" s="89"/>
    </row>
    <row r="99" spans="1:30" s="31" customFormat="1" ht="30.75" customHeight="1">
      <c r="A99" s="172" t="s">
        <v>98</v>
      </c>
      <c r="B99" s="172"/>
      <c r="C99" s="101"/>
      <c r="D99" s="101"/>
      <c r="E99" s="113">
        <f>SUM(E97:E98)</f>
        <v>9.8000000000000007</v>
      </c>
      <c r="F99" s="113"/>
      <c r="G99" s="105">
        <f>SUM(G97:G98)</f>
        <v>231293.39812999999</v>
      </c>
      <c r="H99" s="113"/>
      <c r="I99" s="105"/>
      <c r="J99" s="105"/>
      <c r="K99" s="105"/>
      <c r="L99" s="105"/>
      <c r="M99" s="105"/>
      <c r="N99" s="113">
        <f>SUM(N97:N97)</f>
        <v>4.4000000000000004</v>
      </c>
      <c r="O99" s="113"/>
      <c r="P99" s="105">
        <f>SUM(P97:P97)</f>
        <v>118184.28718</v>
      </c>
      <c r="Q99" s="105">
        <f>SUM(Q97:Q97)</f>
        <v>111093.22824</v>
      </c>
      <c r="R99" s="105">
        <f>SUM(R97:R97)</f>
        <v>7091.0589400000026</v>
      </c>
      <c r="S99" s="105"/>
      <c r="T99" s="105">
        <f>SUM(T98)</f>
        <v>5.4</v>
      </c>
      <c r="U99" s="105"/>
      <c r="V99" s="105">
        <f>SUM(V98)</f>
        <v>113109.11095</v>
      </c>
      <c r="W99" s="68">
        <f>SUM(W98)</f>
        <v>99536.015739319249</v>
      </c>
      <c r="X99" s="34">
        <f>SUM(X98)</f>
        <v>13573.095210680753</v>
      </c>
      <c r="Y99" s="78"/>
      <c r="Z99" s="76"/>
      <c r="AA99" s="43"/>
      <c r="AB99" s="43"/>
      <c r="AC99" s="89"/>
    </row>
    <row r="100" spans="1:30" s="31" customFormat="1" ht="32.25" customHeight="1">
      <c r="A100" s="170" t="s">
        <v>99</v>
      </c>
      <c r="B100" s="170"/>
      <c r="C100" s="101"/>
      <c r="D100" s="101"/>
      <c r="E100" s="125"/>
      <c r="F100" s="105"/>
      <c r="G100" s="105"/>
      <c r="H100" s="105"/>
      <c r="I100" s="105"/>
      <c r="J100" s="105"/>
      <c r="K100" s="105"/>
      <c r="L100" s="105"/>
      <c r="M100" s="105"/>
      <c r="N100" s="125"/>
      <c r="O100" s="105"/>
      <c r="P100" s="105"/>
      <c r="Q100" s="105"/>
      <c r="R100" s="105"/>
      <c r="S100" s="105"/>
      <c r="T100" s="105"/>
      <c r="U100" s="105"/>
      <c r="V100" s="106"/>
      <c r="W100" s="68"/>
      <c r="X100" s="34"/>
      <c r="Y100" s="76"/>
      <c r="Z100" s="76"/>
      <c r="AA100" s="43"/>
      <c r="AB100" s="43"/>
      <c r="AC100" s="89"/>
    </row>
    <row r="101" spans="1:30" s="31" customFormat="1" ht="63.75" customHeight="1">
      <c r="A101" s="100">
        <v>32</v>
      </c>
      <c r="B101" s="124" t="s">
        <v>165</v>
      </c>
      <c r="C101" s="101" t="s">
        <v>23</v>
      </c>
      <c r="D101" s="101"/>
      <c r="E101" s="117"/>
      <c r="F101" s="105"/>
      <c r="G101" s="104">
        <f>J101+P101</f>
        <v>273838.16224999999</v>
      </c>
      <c r="H101" s="105"/>
      <c r="I101" s="105"/>
      <c r="J101" s="104">
        <v>150000</v>
      </c>
      <c r="K101" s="105"/>
      <c r="L101" s="104">
        <f>J101</f>
        <v>150000</v>
      </c>
      <c r="M101" s="105"/>
      <c r="N101" s="117"/>
      <c r="O101" s="105"/>
      <c r="P101" s="104">
        <f>173992.47899-50154.31674</f>
        <v>123838.16224999999</v>
      </c>
      <c r="Q101" s="104">
        <f t="shared" ref="Q101" si="15">P101*0.939999985532419</f>
        <v>116407.87072336135</v>
      </c>
      <c r="R101" s="104">
        <f>P101-Q101</f>
        <v>7430.2915266386408</v>
      </c>
      <c r="S101" s="105"/>
      <c r="T101" s="105"/>
      <c r="U101" s="105"/>
      <c r="V101" s="106"/>
      <c r="W101" s="68"/>
      <c r="X101" s="34"/>
      <c r="Y101" s="76"/>
      <c r="Z101" s="76"/>
      <c r="AA101" s="80"/>
      <c r="AB101" s="43"/>
      <c r="AC101" s="89"/>
      <c r="AD101" s="35">
        <f>G101-P101</f>
        <v>150000</v>
      </c>
    </row>
    <row r="102" spans="1:30" s="31" customFormat="1" ht="43.5" customHeight="1">
      <c r="A102" s="100">
        <v>33</v>
      </c>
      <c r="B102" s="124" t="s">
        <v>169</v>
      </c>
      <c r="C102" s="101" t="s">
        <v>23</v>
      </c>
      <c r="D102" s="101"/>
      <c r="E102" s="117">
        <v>2.226</v>
      </c>
      <c r="F102" s="105"/>
      <c r="G102" s="104">
        <v>60464.042419999998</v>
      </c>
      <c r="H102" s="105"/>
      <c r="I102" s="105"/>
      <c r="J102" s="104"/>
      <c r="K102" s="105"/>
      <c r="L102" s="104"/>
      <c r="M102" s="105"/>
      <c r="N102" s="117">
        <f>E102</f>
        <v>2.226</v>
      </c>
      <c r="O102" s="105"/>
      <c r="P102" s="104">
        <v>60464.042419999998</v>
      </c>
      <c r="Q102" s="104">
        <v>56836.199000000001</v>
      </c>
      <c r="R102" s="104">
        <f>P102-Q102</f>
        <v>3627.8434199999974</v>
      </c>
      <c r="S102" s="105"/>
      <c r="T102" s="105"/>
      <c r="U102" s="105"/>
      <c r="V102" s="106"/>
      <c r="W102" s="68"/>
      <c r="X102" s="34"/>
      <c r="Y102" s="76"/>
      <c r="Z102" s="76"/>
      <c r="AA102" s="43"/>
      <c r="AB102" s="43"/>
      <c r="AC102" s="89"/>
    </row>
    <row r="103" spans="1:30" s="31" customFormat="1" ht="40.5" customHeight="1">
      <c r="A103" s="100">
        <v>34</v>
      </c>
      <c r="B103" s="110" t="s">
        <v>100</v>
      </c>
      <c r="C103" s="101" t="s">
        <v>23</v>
      </c>
      <c r="D103" s="101"/>
      <c r="E103" s="117">
        <v>9.6470000000000002</v>
      </c>
      <c r="F103" s="117"/>
      <c r="G103" s="104">
        <v>261742.54837999999</v>
      </c>
      <c r="H103" s="105"/>
      <c r="I103" s="105"/>
      <c r="J103" s="104"/>
      <c r="K103" s="105" t="s">
        <v>56</v>
      </c>
      <c r="L103" s="104"/>
      <c r="M103" s="105"/>
      <c r="N103" s="117"/>
      <c r="O103" s="105"/>
      <c r="P103" s="104">
        <v>109799.2124</v>
      </c>
      <c r="Q103" s="104">
        <v>103211.25807</v>
      </c>
      <c r="R103" s="104">
        <f>P103-Q103</f>
        <v>6587.9543300000078</v>
      </c>
      <c r="S103" s="105"/>
      <c r="T103" s="103">
        <f>E103</f>
        <v>9.6470000000000002</v>
      </c>
      <c r="U103" s="104"/>
      <c r="V103" s="108">
        <f>G103-P103</f>
        <v>151943.33597999997</v>
      </c>
      <c r="W103" s="21">
        <f t="shared" ref="W103:W104" si="16">V103*0.879999983231406</f>
        <v>133710.13311452387</v>
      </c>
      <c r="X103" s="40">
        <f>V103-W103</f>
        <v>18233.202865476109</v>
      </c>
      <c r="Y103" s="20"/>
      <c r="Z103" s="21"/>
      <c r="AA103" s="21"/>
      <c r="AB103" s="43"/>
      <c r="AC103" s="89"/>
    </row>
    <row r="104" spans="1:30" s="31" customFormat="1" ht="44.25" customHeight="1">
      <c r="A104" s="100">
        <v>35</v>
      </c>
      <c r="B104" s="124" t="s">
        <v>159</v>
      </c>
      <c r="C104" s="101" t="s">
        <v>23</v>
      </c>
      <c r="D104" s="101"/>
      <c r="E104" s="117">
        <f>2.8-0.018</f>
        <v>2.782</v>
      </c>
      <c r="F104" s="105"/>
      <c r="G104" s="104">
        <v>84265.095249999998</v>
      </c>
      <c r="H104" s="105"/>
      <c r="I104" s="105"/>
      <c r="J104" s="104"/>
      <c r="K104" s="105"/>
      <c r="L104" s="104"/>
      <c r="M104" s="105"/>
      <c r="N104" s="117"/>
      <c r="O104" s="105"/>
      <c r="P104" s="104"/>
      <c r="Q104" s="104"/>
      <c r="R104" s="104"/>
      <c r="S104" s="105"/>
      <c r="T104" s="103">
        <f>E104</f>
        <v>2.782</v>
      </c>
      <c r="U104" s="104"/>
      <c r="V104" s="108">
        <f>G104</f>
        <v>84265.095249999998</v>
      </c>
      <c r="W104" s="21">
        <f t="shared" si="16"/>
        <v>74153.282406992832</v>
      </c>
      <c r="X104" s="40">
        <f>V104-W104</f>
        <v>10111.812843007167</v>
      </c>
      <c r="Y104" s="76"/>
      <c r="Z104" s="76"/>
      <c r="AA104" s="43"/>
      <c r="AB104" s="43"/>
      <c r="AC104" s="89"/>
    </row>
    <row r="105" spans="1:30" s="31" customFormat="1" ht="48.75" customHeight="1">
      <c r="A105" s="172" t="s">
        <v>101</v>
      </c>
      <c r="B105" s="172"/>
      <c r="C105" s="172"/>
      <c r="D105" s="101"/>
      <c r="E105" s="125">
        <f>SUM(E101:E104)</f>
        <v>14.655000000000001</v>
      </c>
      <c r="F105" s="104"/>
      <c r="G105" s="105">
        <f>SUM(G101:G104)</f>
        <v>680309.84829999995</v>
      </c>
      <c r="H105" s="105"/>
      <c r="I105" s="105"/>
      <c r="J105" s="105">
        <f>SUM(J101)</f>
        <v>150000</v>
      </c>
      <c r="K105" s="105"/>
      <c r="L105" s="105">
        <f>SUM(L101)</f>
        <v>150000</v>
      </c>
      <c r="M105" s="105"/>
      <c r="N105" s="126">
        <f>SUM(N101:N104)</f>
        <v>2.226</v>
      </c>
      <c r="O105" s="105"/>
      <c r="P105" s="105">
        <f>SUM(P101:P104)</f>
        <v>294101.41707000002</v>
      </c>
      <c r="Q105" s="105">
        <f>SUM(Q101:Q104)</f>
        <v>276455.32779336133</v>
      </c>
      <c r="R105" s="105">
        <f>SUM(R101:R104)</f>
        <v>17646.089276638646</v>
      </c>
      <c r="S105" s="105"/>
      <c r="T105" s="127">
        <f>SUM(T103:T104)</f>
        <v>12.429</v>
      </c>
      <c r="U105" s="105"/>
      <c r="V105" s="106">
        <f>SUM(V103:V104)</f>
        <v>236208.43122999999</v>
      </c>
      <c r="W105" s="68">
        <f>SUM(W103:W104)</f>
        <v>207863.4155215167</v>
      </c>
      <c r="X105" s="34">
        <f>SUM(X103:X104)</f>
        <v>28345.015708483275</v>
      </c>
      <c r="Y105" s="78"/>
      <c r="Z105" s="76"/>
      <c r="AA105" s="43"/>
      <c r="AB105" s="43"/>
      <c r="AC105" s="89"/>
    </row>
    <row r="106" spans="1:30" s="31" customFormat="1" ht="27" customHeight="1">
      <c r="A106" s="170" t="s">
        <v>102</v>
      </c>
      <c r="B106" s="170"/>
      <c r="C106" s="128"/>
      <c r="D106" s="129"/>
      <c r="E106" s="113"/>
      <c r="F106" s="113"/>
      <c r="G106" s="105"/>
      <c r="H106" s="113"/>
      <c r="I106" s="105"/>
      <c r="J106" s="105"/>
      <c r="K106" s="105"/>
      <c r="L106" s="105"/>
      <c r="M106" s="105"/>
      <c r="N106" s="105"/>
      <c r="O106" s="113"/>
      <c r="P106" s="105"/>
      <c r="Q106" s="105"/>
      <c r="R106" s="105"/>
      <c r="S106" s="105"/>
      <c r="T106" s="105"/>
      <c r="U106" s="105"/>
      <c r="V106" s="106"/>
      <c r="W106" s="68"/>
      <c r="X106" s="34"/>
      <c r="Y106" s="76"/>
      <c r="Z106" s="76"/>
      <c r="AA106" s="43"/>
      <c r="AB106" s="43"/>
      <c r="AC106" s="89"/>
    </row>
    <row r="107" spans="1:30" s="31" customFormat="1" ht="64.5" customHeight="1">
      <c r="A107" s="100">
        <v>36</v>
      </c>
      <c r="B107" s="124" t="s">
        <v>176</v>
      </c>
      <c r="C107" s="101" t="s">
        <v>23</v>
      </c>
      <c r="D107" s="129"/>
      <c r="E107" s="119">
        <f>3.5+8.3</f>
        <v>11.8</v>
      </c>
      <c r="F107" s="113"/>
      <c r="G107" s="104">
        <f>P107+V107</f>
        <v>306859.12606000004</v>
      </c>
      <c r="H107" s="113"/>
      <c r="I107" s="105"/>
      <c r="J107" s="105"/>
      <c r="K107" s="105"/>
      <c r="L107" s="105"/>
      <c r="M107" s="105"/>
      <c r="N107" s="119">
        <v>3.5</v>
      </c>
      <c r="O107" s="113"/>
      <c r="P107" s="104">
        <v>90326.556140000001</v>
      </c>
      <c r="Q107" s="104">
        <v>84906.961460000006</v>
      </c>
      <c r="R107" s="104">
        <f>P107-Q107</f>
        <v>5419.5946799999947</v>
      </c>
      <c r="S107" s="105"/>
      <c r="T107" s="119">
        <v>8.3000000000000007</v>
      </c>
      <c r="U107" s="105"/>
      <c r="V107" s="108">
        <v>216532.56992000001</v>
      </c>
      <c r="W107" s="21">
        <f t="shared" ref="W107" si="17">V107*0.879999983231406</f>
        <v>190548.65789865327</v>
      </c>
      <c r="X107" s="40">
        <f>V107-W107</f>
        <v>25983.912021346739</v>
      </c>
      <c r="Y107" s="76"/>
      <c r="Z107" s="76"/>
      <c r="AA107" s="43"/>
      <c r="AB107" s="43"/>
      <c r="AC107" s="89"/>
    </row>
    <row r="108" spans="1:30" s="31" customFormat="1" ht="46.5" hidden="1" customHeight="1">
      <c r="A108" s="100">
        <v>40</v>
      </c>
      <c r="B108" s="124" t="s">
        <v>103</v>
      </c>
      <c r="C108" s="101" t="s">
        <v>23</v>
      </c>
      <c r="D108" s="129"/>
      <c r="E108" s="119"/>
      <c r="F108" s="113"/>
      <c r="G108" s="104"/>
      <c r="H108" s="113"/>
      <c r="I108" s="105"/>
      <c r="J108" s="105"/>
      <c r="K108" s="105"/>
      <c r="L108" s="105"/>
      <c r="M108" s="105"/>
      <c r="N108" s="119"/>
      <c r="O108" s="113"/>
      <c r="P108" s="104"/>
      <c r="Q108" s="104"/>
      <c r="R108" s="104"/>
      <c r="S108" s="105"/>
      <c r="T108" s="119"/>
      <c r="U108" s="113"/>
      <c r="V108" s="104"/>
      <c r="W108" s="21"/>
      <c r="X108" s="40"/>
      <c r="Y108" s="76"/>
      <c r="Z108" s="76"/>
      <c r="AA108" s="43"/>
      <c r="AB108" s="43"/>
      <c r="AC108" s="89"/>
    </row>
    <row r="109" spans="1:30" s="31" customFormat="1" ht="30.75" customHeight="1">
      <c r="A109" s="172" t="s">
        <v>104</v>
      </c>
      <c r="B109" s="172"/>
      <c r="C109" s="101"/>
      <c r="D109" s="101"/>
      <c r="E109" s="125">
        <f>SUM(E107:E108)</f>
        <v>11.8</v>
      </c>
      <c r="F109" s="104"/>
      <c r="G109" s="105">
        <f>SUM(G107:G108)</f>
        <v>306859.12606000004</v>
      </c>
      <c r="H109" s="105"/>
      <c r="I109" s="105"/>
      <c r="J109" s="105"/>
      <c r="K109" s="105"/>
      <c r="L109" s="105"/>
      <c r="M109" s="105"/>
      <c r="N109" s="125">
        <f>N107</f>
        <v>3.5</v>
      </c>
      <c r="O109" s="105"/>
      <c r="P109" s="105">
        <f>P107</f>
        <v>90326.556140000001</v>
      </c>
      <c r="Q109" s="105">
        <f>Q107</f>
        <v>84906.961460000006</v>
      </c>
      <c r="R109" s="105">
        <f>R107</f>
        <v>5419.5946799999947</v>
      </c>
      <c r="S109" s="105"/>
      <c r="T109" s="105">
        <f>T107</f>
        <v>8.3000000000000007</v>
      </c>
      <c r="U109" s="105"/>
      <c r="V109" s="106">
        <f>V107</f>
        <v>216532.56992000001</v>
      </c>
      <c r="W109" s="68">
        <f>W107</f>
        <v>190548.65789865327</v>
      </c>
      <c r="X109" s="34">
        <f>X107</f>
        <v>25983.912021346739</v>
      </c>
      <c r="Y109" s="78"/>
      <c r="Z109" s="76"/>
      <c r="AA109" s="43"/>
      <c r="AB109" s="43"/>
      <c r="AC109" s="89"/>
    </row>
    <row r="110" spans="1:30" s="31" customFormat="1" ht="29.25" customHeight="1">
      <c r="A110" s="170" t="s">
        <v>105</v>
      </c>
      <c r="B110" s="170"/>
      <c r="C110" s="171"/>
      <c r="D110" s="171"/>
      <c r="E110" s="171"/>
      <c r="F110" s="107"/>
      <c r="G110" s="105"/>
      <c r="H110" s="101"/>
      <c r="I110" s="104"/>
      <c r="J110" s="104"/>
      <c r="K110" s="104"/>
      <c r="L110" s="104"/>
      <c r="M110" s="104"/>
      <c r="N110" s="104"/>
      <c r="O110" s="101"/>
      <c r="P110" s="104"/>
      <c r="Q110" s="104"/>
      <c r="R110" s="104"/>
      <c r="S110" s="104"/>
      <c r="T110" s="104"/>
      <c r="U110" s="104"/>
      <c r="V110" s="108"/>
      <c r="W110" s="21"/>
      <c r="X110" s="40"/>
      <c r="Y110" s="76"/>
      <c r="Z110" s="76"/>
      <c r="AA110" s="43"/>
      <c r="AB110" s="43"/>
      <c r="AC110" s="89"/>
    </row>
    <row r="111" spans="1:30" s="31" customFormat="1" ht="45" hidden="1" customHeight="1">
      <c r="A111" s="100">
        <v>41</v>
      </c>
      <c r="B111" s="124" t="s">
        <v>106</v>
      </c>
      <c r="C111" s="101" t="s">
        <v>23</v>
      </c>
      <c r="D111" s="101"/>
      <c r="E111" s="117">
        <v>2.82</v>
      </c>
      <c r="F111" s="117"/>
      <c r="G111" s="104">
        <v>73334.083140000002</v>
      </c>
      <c r="H111" s="103">
        <f>E111</f>
        <v>2.82</v>
      </c>
      <c r="I111" s="104"/>
      <c r="J111" s="104">
        <f>G111</f>
        <v>73334.083140000002</v>
      </c>
      <c r="K111" s="104"/>
      <c r="L111" s="104">
        <f>J111</f>
        <v>73334.083140000002</v>
      </c>
      <c r="M111" s="104"/>
      <c r="N111" s="117"/>
      <c r="O111" s="103"/>
      <c r="P111" s="104"/>
      <c r="Q111" s="104"/>
      <c r="R111" s="104"/>
      <c r="S111" s="104"/>
      <c r="T111" s="104"/>
      <c r="U111" s="104"/>
      <c r="V111" s="108"/>
      <c r="W111" s="21"/>
      <c r="X111" s="40"/>
      <c r="Y111" s="76"/>
      <c r="Z111" s="76"/>
      <c r="AA111" s="43"/>
      <c r="AB111" s="43"/>
      <c r="AC111" s="89"/>
    </row>
    <row r="112" spans="1:30" s="31" customFormat="1" ht="67.5" customHeight="1">
      <c r="A112" s="100">
        <v>37</v>
      </c>
      <c r="B112" s="124" t="s">
        <v>108</v>
      </c>
      <c r="C112" s="101" t="s">
        <v>23</v>
      </c>
      <c r="D112" s="101"/>
      <c r="E112" s="117">
        <v>3.5</v>
      </c>
      <c r="F112" s="117"/>
      <c r="G112" s="104">
        <v>84438</v>
      </c>
      <c r="H112" s="103"/>
      <c r="I112" s="104"/>
      <c r="J112" s="104"/>
      <c r="K112" s="104"/>
      <c r="L112" s="104"/>
      <c r="M112" s="104"/>
      <c r="N112" s="117">
        <f>E112</f>
        <v>3.5</v>
      </c>
      <c r="O112" s="103"/>
      <c r="P112" s="104">
        <f>G112</f>
        <v>84438</v>
      </c>
      <c r="Q112" s="104">
        <v>79371.718779999996</v>
      </c>
      <c r="R112" s="104">
        <f>P112-Q112</f>
        <v>5066.2812200000044</v>
      </c>
      <c r="S112" s="104"/>
      <c r="T112" s="104"/>
      <c r="U112" s="104"/>
      <c r="V112" s="108"/>
      <c r="W112" s="21"/>
      <c r="X112" s="40"/>
      <c r="Y112" s="76"/>
      <c r="Z112" s="76"/>
      <c r="AA112" s="43"/>
      <c r="AB112" s="43"/>
      <c r="AC112" s="89"/>
    </row>
    <row r="113" spans="1:30" s="31" customFormat="1" ht="60.75" customHeight="1">
      <c r="A113" s="100">
        <v>38</v>
      </c>
      <c r="B113" s="124" t="s">
        <v>158</v>
      </c>
      <c r="C113" s="101" t="s">
        <v>23</v>
      </c>
      <c r="D113" s="101"/>
      <c r="E113" s="117">
        <v>6.25</v>
      </c>
      <c r="F113" s="117"/>
      <c r="G113" s="104">
        <v>154884.05856999999</v>
      </c>
      <c r="H113" s="103"/>
      <c r="I113" s="104"/>
      <c r="J113" s="104"/>
      <c r="K113" s="104"/>
      <c r="L113" s="104" t="s">
        <v>107</v>
      </c>
      <c r="M113" s="104"/>
      <c r="N113" s="117"/>
      <c r="O113" s="103"/>
      <c r="P113" s="104"/>
      <c r="Q113" s="104"/>
      <c r="R113" s="104"/>
      <c r="S113" s="104"/>
      <c r="T113" s="103">
        <f>E113</f>
        <v>6.25</v>
      </c>
      <c r="U113" s="104"/>
      <c r="V113" s="108">
        <f>G113</f>
        <v>154884.05856999999</v>
      </c>
      <c r="W113" s="21">
        <f t="shared" ref="W113" si="18">V113*0.879999983231406</f>
        <v>136297.9689444121</v>
      </c>
      <c r="X113" s="40">
        <f>V113-W113</f>
        <v>18586.089625587891</v>
      </c>
      <c r="Y113" s="76"/>
      <c r="Z113" s="76"/>
      <c r="AA113" s="43"/>
      <c r="AB113" s="43"/>
      <c r="AC113" s="89"/>
    </row>
    <row r="114" spans="1:30" s="31" customFormat="1" ht="36.75" customHeight="1">
      <c r="A114" s="172" t="s">
        <v>171</v>
      </c>
      <c r="B114" s="172"/>
      <c r="C114" s="129"/>
      <c r="D114" s="129"/>
      <c r="E114" s="113">
        <f>E112+E113</f>
        <v>9.75</v>
      </c>
      <c r="F114" s="104"/>
      <c r="G114" s="105">
        <f>G112+G113</f>
        <v>239322.05856999999</v>
      </c>
      <c r="H114" s="113">
        <f>SUM(H111:H111)</f>
        <v>2.82</v>
      </c>
      <c r="I114" s="105">
        <f>SUM(I111:I111)</f>
        <v>0</v>
      </c>
      <c r="J114" s="105">
        <f>SUM(J111:J111)</f>
        <v>73334.083140000002</v>
      </c>
      <c r="K114" s="105"/>
      <c r="L114" s="105">
        <f>SUM(L111:L111)</f>
        <v>73334.083140000002</v>
      </c>
      <c r="M114" s="105"/>
      <c r="N114" s="105">
        <f>N112</f>
        <v>3.5</v>
      </c>
      <c r="O114" s="113"/>
      <c r="P114" s="105">
        <f>P112</f>
        <v>84438</v>
      </c>
      <c r="Q114" s="105">
        <f>Q112</f>
        <v>79371.718779999996</v>
      </c>
      <c r="R114" s="105">
        <f>R112</f>
        <v>5066.2812200000044</v>
      </c>
      <c r="S114" s="105"/>
      <c r="T114" s="105">
        <f>SUM(T113:T113)</f>
        <v>6.25</v>
      </c>
      <c r="U114" s="105"/>
      <c r="V114" s="106">
        <f>SUM(V113:V113)</f>
        <v>154884.05856999999</v>
      </c>
      <c r="W114" s="68">
        <f>SUM(W113:W113)</f>
        <v>136297.9689444121</v>
      </c>
      <c r="X114" s="34">
        <f>SUM(X113:X113)</f>
        <v>18586.089625587891</v>
      </c>
      <c r="Y114" s="78"/>
      <c r="Z114" s="76"/>
      <c r="AA114" s="43"/>
      <c r="AB114" s="43"/>
      <c r="AC114" s="89"/>
    </row>
    <row r="115" spans="1:30" s="31" customFormat="1" ht="28.5" customHeight="1">
      <c r="A115" s="170" t="s">
        <v>109</v>
      </c>
      <c r="B115" s="170"/>
      <c r="C115" s="129"/>
      <c r="D115" s="129"/>
      <c r="E115" s="113"/>
      <c r="F115" s="113"/>
      <c r="G115" s="105"/>
      <c r="H115" s="113"/>
      <c r="I115" s="105"/>
      <c r="J115" s="105"/>
      <c r="K115" s="105"/>
      <c r="L115" s="105"/>
      <c r="M115" s="105"/>
      <c r="N115" s="105"/>
      <c r="O115" s="113"/>
      <c r="P115" s="105"/>
      <c r="Q115" s="105"/>
      <c r="R115" s="105"/>
      <c r="S115" s="105"/>
      <c r="T115" s="105"/>
      <c r="U115" s="105"/>
      <c r="V115" s="106"/>
      <c r="W115" s="68"/>
      <c r="X115" s="34"/>
      <c r="Y115" s="76"/>
      <c r="Z115" s="76"/>
      <c r="AA115" s="43"/>
      <c r="AB115" s="43"/>
      <c r="AC115" s="89"/>
    </row>
    <row r="116" spans="1:30" s="31" customFormat="1" ht="45.75" customHeight="1">
      <c r="A116" s="100">
        <v>39</v>
      </c>
      <c r="B116" s="124" t="s">
        <v>110</v>
      </c>
      <c r="C116" s="101" t="s">
        <v>23</v>
      </c>
      <c r="D116" s="129"/>
      <c r="E116" s="119">
        <f>38.268-32.25</f>
        <v>6.0180000000000007</v>
      </c>
      <c r="F116" s="112"/>
      <c r="G116" s="104">
        <v>177923.18470000001</v>
      </c>
      <c r="H116" s="113"/>
      <c r="I116" s="105"/>
      <c r="J116" s="105"/>
      <c r="K116" s="105"/>
      <c r="L116" s="105"/>
      <c r="M116" s="105"/>
      <c r="N116" s="119">
        <f>E116</f>
        <v>6.0180000000000007</v>
      </c>
      <c r="O116" s="113"/>
      <c r="P116" s="104">
        <f>G116</f>
        <v>177923.18470000001</v>
      </c>
      <c r="Q116" s="104">
        <v>167247.79104000001</v>
      </c>
      <c r="R116" s="104">
        <f>P116-Q116</f>
        <v>10675.393660000002</v>
      </c>
      <c r="S116" s="105"/>
      <c r="T116" s="105"/>
      <c r="U116" s="105"/>
      <c r="V116" s="106"/>
      <c r="W116" s="68"/>
      <c r="X116" s="34"/>
      <c r="Y116" s="76"/>
      <c r="Z116" s="76"/>
      <c r="AA116" s="43"/>
      <c r="AB116" s="43"/>
      <c r="AC116" s="89"/>
    </row>
    <row r="117" spans="1:30" s="31" customFormat="1" ht="47.25" customHeight="1">
      <c r="A117" s="100">
        <v>40</v>
      </c>
      <c r="B117" s="124" t="s">
        <v>111</v>
      </c>
      <c r="C117" s="101" t="s">
        <v>23</v>
      </c>
      <c r="D117" s="129"/>
      <c r="E117" s="119">
        <f>27-23.25</f>
        <v>3.75</v>
      </c>
      <c r="F117" s="112"/>
      <c r="G117" s="104">
        <v>94254.907399999996</v>
      </c>
      <c r="H117" s="113"/>
      <c r="I117" s="105"/>
      <c r="J117" s="105"/>
      <c r="K117" s="105"/>
      <c r="L117" s="105"/>
      <c r="M117" s="105"/>
      <c r="N117" s="119">
        <f>E117</f>
        <v>3.75</v>
      </c>
      <c r="O117" s="113"/>
      <c r="P117" s="104">
        <f>G117</f>
        <v>94254.907399999996</v>
      </c>
      <c r="Q117" s="104">
        <v>88599.61159</v>
      </c>
      <c r="R117" s="104">
        <f>P117-Q117</f>
        <v>5655.295809999996</v>
      </c>
      <c r="S117" s="105"/>
      <c r="T117" s="105"/>
      <c r="U117" s="105"/>
      <c r="V117" s="106"/>
      <c r="W117" s="68"/>
      <c r="X117" s="34"/>
      <c r="Y117" s="76"/>
      <c r="Z117" s="76"/>
      <c r="AA117" s="43"/>
      <c r="AB117" s="43"/>
      <c r="AC117" s="89"/>
    </row>
    <row r="118" spans="1:30" s="31" customFormat="1" ht="64.5" customHeight="1">
      <c r="A118" s="100">
        <v>41</v>
      </c>
      <c r="B118" s="124" t="s">
        <v>154</v>
      </c>
      <c r="C118" s="101" t="s">
        <v>23</v>
      </c>
      <c r="D118" s="129"/>
      <c r="E118" s="119">
        <v>3.5</v>
      </c>
      <c r="F118" s="112"/>
      <c r="G118" s="104">
        <f>E118*30000-2000</f>
        <v>103000</v>
      </c>
      <c r="H118" s="113"/>
      <c r="I118" s="105"/>
      <c r="J118" s="105"/>
      <c r="K118" s="105"/>
      <c r="L118" s="105"/>
      <c r="M118" s="105"/>
      <c r="N118" s="119"/>
      <c r="O118" s="113"/>
      <c r="P118" s="104"/>
      <c r="Q118" s="104"/>
      <c r="R118" s="104"/>
      <c r="S118" s="105"/>
      <c r="T118" s="103">
        <f>E118</f>
        <v>3.5</v>
      </c>
      <c r="U118" s="104"/>
      <c r="V118" s="108">
        <f>G118</f>
        <v>103000</v>
      </c>
      <c r="W118" s="21">
        <f t="shared" ref="W118:W119" si="19">V118*0.879999983231406</f>
        <v>90639.998272834826</v>
      </c>
      <c r="X118" s="40">
        <f>V118-W118</f>
        <v>12360.001727165174</v>
      </c>
      <c r="Y118" s="76"/>
      <c r="Z118" s="76"/>
      <c r="AA118" s="43"/>
      <c r="AB118" s="43"/>
      <c r="AC118" s="89"/>
    </row>
    <row r="119" spans="1:30" s="31" customFormat="1" ht="42.75" customHeight="1">
      <c r="A119" s="100">
        <v>42</v>
      </c>
      <c r="B119" s="124" t="s">
        <v>155</v>
      </c>
      <c r="C119" s="101" t="s">
        <v>23</v>
      </c>
      <c r="D119" s="129"/>
      <c r="E119" s="119">
        <v>2.9</v>
      </c>
      <c r="F119" s="112"/>
      <c r="G119" s="104">
        <v>76985.267479999995</v>
      </c>
      <c r="H119" s="113"/>
      <c r="I119" s="105"/>
      <c r="J119" s="105"/>
      <c r="K119" s="105"/>
      <c r="L119" s="105"/>
      <c r="M119" s="105"/>
      <c r="N119" s="119"/>
      <c r="O119" s="113"/>
      <c r="P119" s="104"/>
      <c r="Q119" s="104"/>
      <c r="R119" s="104"/>
      <c r="S119" s="105"/>
      <c r="T119" s="103">
        <f>E119</f>
        <v>2.9</v>
      </c>
      <c r="U119" s="104"/>
      <c r="V119" s="108">
        <f>G119</f>
        <v>76985.267479999995</v>
      </c>
      <c r="W119" s="21">
        <f t="shared" si="19"/>
        <v>67747.034091465306</v>
      </c>
      <c r="X119" s="40">
        <f>V119-W119</f>
        <v>9238.2333885346889</v>
      </c>
      <c r="Y119" s="76"/>
      <c r="Z119" s="76"/>
      <c r="AA119" s="43"/>
      <c r="AB119" s="43"/>
      <c r="AC119" s="89"/>
    </row>
    <row r="120" spans="1:30" s="31" customFormat="1" ht="30" customHeight="1">
      <c r="A120" s="172" t="s">
        <v>112</v>
      </c>
      <c r="B120" s="172"/>
      <c r="C120" s="129"/>
      <c r="D120" s="129"/>
      <c r="E120" s="113">
        <f>SUM(E116:E119)</f>
        <v>16.167999999999999</v>
      </c>
      <c r="F120" s="104"/>
      <c r="G120" s="105">
        <f>SUM(G116:G119)</f>
        <v>452163.35957999999</v>
      </c>
      <c r="H120" s="113"/>
      <c r="I120" s="105"/>
      <c r="J120" s="105"/>
      <c r="K120" s="105"/>
      <c r="L120" s="105"/>
      <c r="M120" s="105"/>
      <c r="N120" s="113">
        <f>SUM(N116:N117)</f>
        <v>9.7680000000000007</v>
      </c>
      <c r="O120" s="113"/>
      <c r="P120" s="105">
        <f>SUM(P116:P117)</f>
        <v>272178.09210000001</v>
      </c>
      <c r="Q120" s="105">
        <f>SUM(Q116:Q117)</f>
        <v>255847.40263000003</v>
      </c>
      <c r="R120" s="105">
        <f>SUM(R116:R117)</f>
        <v>16330.689469999998</v>
      </c>
      <c r="S120" s="105"/>
      <c r="T120" s="105">
        <f>SUM(T118:T119)</f>
        <v>6.4</v>
      </c>
      <c r="U120" s="105"/>
      <c r="V120" s="106">
        <f>SUM(V118:V119)</f>
        <v>179985.26747999998</v>
      </c>
      <c r="W120" s="68">
        <f>SUM(W118:W119)</f>
        <v>158387.03236430013</v>
      </c>
      <c r="X120" s="34">
        <f>SUM(X118:X119)</f>
        <v>21598.235115699863</v>
      </c>
      <c r="Y120" s="78"/>
      <c r="Z120" s="76"/>
      <c r="AA120" s="43"/>
      <c r="AB120" s="43"/>
      <c r="AC120" s="89"/>
    </row>
    <row r="121" spans="1:30" s="31" customFormat="1" ht="33.75" customHeight="1">
      <c r="A121" s="170" t="s">
        <v>113</v>
      </c>
      <c r="B121" s="170"/>
      <c r="C121" s="171"/>
      <c r="D121" s="171"/>
      <c r="E121" s="171"/>
      <c r="F121" s="107"/>
      <c r="G121" s="105"/>
      <c r="H121" s="101"/>
      <c r="I121" s="104"/>
      <c r="J121" s="104"/>
      <c r="K121" s="104"/>
      <c r="L121" s="104"/>
      <c r="M121" s="104"/>
      <c r="N121" s="104"/>
      <c r="O121" s="101"/>
      <c r="P121" s="104"/>
      <c r="Q121" s="104"/>
      <c r="R121" s="104"/>
      <c r="S121" s="104"/>
      <c r="T121" s="104"/>
      <c r="U121" s="104"/>
      <c r="V121" s="108"/>
      <c r="W121" s="21"/>
      <c r="X121" s="40"/>
      <c r="Y121" s="76"/>
      <c r="Z121" s="76"/>
      <c r="AA121" s="43"/>
      <c r="AB121" s="43"/>
      <c r="AC121" s="89"/>
    </row>
    <row r="122" spans="1:30" s="31" customFormat="1" ht="51" hidden="1" customHeight="1">
      <c r="A122" s="100">
        <v>48</v>
      </c>
      <c r="B122" s="124" t="s">
        <v>114</v>
      </c>
      <c r="C122" s="101" t="s">
        <v>23</v>
      </c>
      <c r="D122" s="101"/>
      <c r="E122" s="117">
        <f>8.63-1.82</f>
        <v>6.8100000000000005</v>
      </c>
      <c r="F122" s="117"/>
      <c r="G122" s="104">
        <v>163235.96216</v>
      </c>
      <c r="H122" s="103">
        <f>E122</f>
        <v>6.8100000000000005</v>
      </c>
      <c r="I122" s="104"/>
      <c r="J122" s="104">
        <f>G122</f>
        <v>163235.96216</v>
      </c>
      <c r="K122" s="104"/>
      <c r="L122" s="104">
        <f>J122</f>
        <v>163235.96216</v>
      </c>
      <c r="M122" s="104"/>
      <c r="N122" s="104"/>
      <c r="O122" s="103"/>
      <c r="P122" s="118"/>
      <c r="Q122" s="118"/>
      <c r="R122" s="118"/>
      <c r="S122" s="118"/>
      <c r="T122" s="118"/>
      <c r="U122" s="104"/>
      <c r="V122" s="108"/>
      <c r="W122" s="21"/>
      <c r="X122" s="40"/>
      <c r="Y122" s="76"/>
      <c r="Z122" s="76"/>
      <c r="AA122" s="43"/>
      <c r="AB122" s="43"/>
      <c r="AC122" s="89"/>
    </row>
    <row r="123" spans="1:30" s="31" customFormat="1" ht="30.75" customHeight="1">
      <c r="A123" s="100">
        <v>43</v>
      </c>
      <c r="B123" s="124" t="s">
        <v>115</v>
      </c>
      <c r="C123" s="101" t="s">
        <v>23</v>
      </c>
      <c r="D123" s="101"/>
      <c r="E123" s="117">
        <v>6</v>
      </c>
      <c r="F123" s="117"/>
      <c r="G123" s="104">
        <v>142640.61877</v>
      </c>
      <c r="H123" s="103"/>
      <c r="I123" s="104"/>
      <c r="J123" s="104"/>
      <c r="K123" s="104"/>
      <c r="L123" s="104"/>
      <c r="M123" s="104"/>
      <c r="N123" s="103">
        <v>6</v>
      </c>
      <c r="O123" s="103"/>
      <c r="P123" s="104">
        <f>G123</f>
        <v>142640.61877</v>
      </c>
      <c r="Q123" s="104">
        <v>134082.17958</v>
      </c>
      <c r="R123" s="104">
        <f>P123-Q123</f>
        <v>8558.4391900000046</v>
      </c>
      <c r="S123" s="118"/>
      <c r="T123" s="118"/>
      <c r="U123" s="104"/>
      <c r="V123" s="108"/>
      <c r="W123" s="21"/>
      <c r="X123" s="40"/>
      <c r="Y123" s="76"/>
      <c r="Z123" s="76"/>
      <c r="AA123" s="43"/>
      <c r="AB123" s="43"/>
      <c r="AC123" s="89"/>
    </row>
    <row r="124" spans="1:30" s="31" customFormat="1" ht="30.75" customHeight="1">
      <c r="A124" s="100">
        <v>44</v>
      </c>
      <c r="B124" s="124" t="s">
        <v>172</v>
      </c>
      <c r="C124" s="101" t="s">
        <v>36</v>
      </c>
      <c r="D124" s="101"/>
      <c r="E124" s="117">
        <v>7.5149999999999997</v>
      </c>
      <c r="F124" s="117"/>
      <c r="G124" s="104">
        <v>140000</v>
      </c>
      <c r="H124" s="103"/>
      <c r="I124" s="104"/>
      <c r="J124" s="104"/>
      <c r="K124" s="104"/>
      <c r="L124" s="104"/>
      <c r="M124" s="104"/>
      <c r="N124" s="103">
        <f>E124</f>
        <v>7.5149999999999997</v>
      </c>
      <c r="O124" s="103"/>
      <c r="P124" s="104">
        <f>G124</f>
        <v>140000</v>
      </c>
      <c r="Q124" s="104"/>
      <c r="R124" s="104">
        <f>P124</f>
        <v>140000</v>
      </c>
      <c r="S124" s="118"/>
      <c r="T124" s="118"/>
      <c r="U124" s="104"/>
      <c r="V124" s="108"/>
      <c r="W124" s="21"/>
      <c r="X124" s="40"/>
      <c r="Y124" s="76"/>
      <c r="Z124" s="76"/>
      <c r="AA124" s="43"/>
      <c r="AB124" s="43"/>
      <c r="AC124" s="89"/>
      <c r="AD124" s="35"/>
    </row>
    <row r="125" spans="1:30" s="31" customFormat="1" ht="27" customHeight="1">
      <c r="A125" s="100">
        <v>45</v>
      </c>
      <c r="B125" s="124" t="s">
        <v>116</v>
      </c>
      <c r="C125" s="101" t="s">
        <v>36</v>
      </c>
      <c r="D125" s="101"/>
      <c r="E125" s="117">
        <v>6</v>
      </c>
      <c r="F125" s="117"/>
      <c r="G125" s="104">
        <v>355000</v>
      </c>
      <c r="H125" s="103"/>
      <c r="I125" s="104"/>
      <c r="J125" s="104"/>
      <c r="K125" s="104"/>
      <c r="L125" s="104"/>
      <c r="M125" s="104"/>
      <c r="N125" s="103"/>
      <c r="O125" s="103"/>
      <c r="P125" s="104"/>
      <c r="Q125" s="104"/>
      <c r="R125" s="104"/>
      <c r="S125" s="118"/>
      <c r="T125" s="103">
        <f>E125</f>
        <v>6</v>
      </c>
      <c r="U125" s="104"/>
      <c r="V125" s="108">
        <f>G125</f>
        <v>355000</v>
      </c>
      <c r="W125" s="21">
        <f t="shared" ref="W125" si="20">V125*0.879999983231406</f>
        <v>312399.99404714914</v>
      </c>
      <c r="X125" s="40">
        <f>V125-W125</f>
        <v>42600.005952850857</v>
      </c>
      <c r="Y125" s="76"/>
      <c r="Z125" s="76"/>
      <c r="AA125" s="43"/>
      <c r="AB125" s="43"/>
      <c r="AC125" s="89"/>
    </row>
    <row r="126" spans="1:30" s="31" customFormat="1" ht="45" customHeight="1">
      <c r="A126" s="100">
        <v>46</v>
      </c>
      <c r="B126" s="124" t="s">
        <v>173</v>
      </c>
      <c r="C126" s="101" t="s">
        <v>23</v>
      </c>
      <c r="D126" s="101"/>
      <c r="E126" s="117">
        <v>6</v>
      </c>
      <c r="F126" s="117"/>
      <c r="G126" s="104">
        <v>175000</v>
      </c>
      <c r="H126" s="103"/>
      <c r="I126" s="104"/>
      <c r="J126" s="104"/>
      <c r="K126" s="104"/>
      <c r="L126" s="104"/>
      <c r="M126" s="104"/>
      <c r="N126" s="103"/>
      <c r="O126" s="103"/>
      <c r="P126" s="104"/>
      <c r="Q126" s="104"/>
      <c r="R126" s="104"/>
      <c r="S126" s="118"/>
      <c r="T126" s="103"/>
      <c r="U126" s="104"/>
      <c r="V126" s="108">
        <f>25000-15000+5000+1816.36062+2910.2225+2979.30906+1838.35371+5226.49402+5115.94143+4941.13105+2324.77167+7991.58263+3799.69545+3014.73252+7065.61016999999+1467.43008</f>
        <v>65491.634909999986</v>
      </c>
      <c r="W126" s="21">
        <f t="shared" ref="W126" si="21">V126*0.879999983231406</f>
        <v>57632.637622597358</v>
      </c>
      <c r="X126" s="40">
        <f>V126-W126</f>
        <v>7858.997287402628</v>
      </c>
      <c r="Y126" s="40">
        <f>E126</f>
        <v>6</v>
      </c>
      <c r="Z126" s="21"/>
      <c r="AA126" s="40">
        <f>G126-V126</f>
        <v>109508.36509000001</v>
      </c>
      <c r="AB126" s="21">
        <f>AA126*0.82</f>
        <v>89796.859373800005</v>
      </c>
      <c r="AC126" s="39">
        <f>AA126-AB126</f>
        <v>19711.505716200001</v>
      </c>
      <c r="AD126" s="158">
        <f>AA126</f>
        <v>109508.36509000001</v>
      </c>
    </row>
    <row r="127" spans="1:30" s="31" customFormat="1" ht="30.75" customHeight="1">
      <c r="A127" s="114"/>
      <c r="B127" s="61" t="s">
        <v>45</v>
      </c>
      <c r="C127" s="101"/>
      <c r="D127" s="101"/>
      <c r="E127" s="123">
        <f>E123+E124+E125+E126</f>
        <v>25.515000000000001</v>
      </c>
      <c r="F127" s="104"/>
      <c r="G127" s="104">
        <f>G123+G124+G125+G126</f>
        <v>812640.61877000006</v>
      </c>
      <c r="H127" s="104">
        <f>SUM(H122:H122)</f>
        <v>6.8100000000000005</v>
      </c>
      <c r="I127" s="104"/>
      <c r="J127" s="104">
        <f>SUM(J122:J122)</f>
        <v>163235.96216</v>
      </c>
      <c r="K127" s="104">
        <f>SUM(K122:K122)</f>
        <v>0</v>
      </c>
      <c r="L127" s="104">
        <f>SUM(L122:L122)</f>
        <v>163235.96216</v>
      </c>
      <c r="M127" s="104"/>
      <c r="N127" s="123">
        <f>SUM(N123:N125)</f>
        <v>13.515000000000001</v>
      </c>
      <c r="O127" s="117"/>
      <c r="P127" s="104">
        <f>SUM(P123:P125)</f>
        <v>282640.61877</v>
      </c>
      <c r="Q127" s="104">
        <f>SUM(Q123:Q125)</f>
        <v>134082.17958</v>
      </c>
      <c r="R127" s="104">
        <f>SUM(R123:R125)</f>
        <v>148558.43919</v>
      </c>
      <c r="S127" s="104"/>
      <c r="T127" s="104">
        <f>SUM(T125:T126)</f>
        <v>6</v>
      </c>
      <c r="U127" s="104"/>
      <c r="V127" s="108">
        <f>SUM(V125:V126)</f>
        <v>420491.63490999996</v>
      </c>
      <c r="W127" s="21">
        <f>SUM(W125:W126)</f>
        <v>370032.63166974648</v>
      </c>
      <c r="X127" s="40">
        <f>SUM(X125:X126)</f>
        <v>50459.003240253485</v>
      </c>
      <c r="Y127" s="40">
        <f>Y126</f>
        <v>6</v>
      </c>
      <c r="Z127" s="21"/>
      <c r="AA127" s="40">
        <f>AA126</f>
        <v>109508.36509000001</v>
      </c>
      <c r="AB127" s="80">
        <f>AB126</f>
        <v>89796.859373800005</v>
      </c>
      <c r="AC127" s="91">
        <f>AC126</f>
        <v>19711.505716200001</v>
      </c>
    </row>
    <row r="128" spans="1:30" s="31" customFormat="1" ht="27.75" customHeight="1">
      <c r="A128" s="114"/>
      <c r="B128" s="61" t="s">
        <v>46</v>
      </c>
      <c r="C128" s="101"/>
      <c r="D128" s="101"/>
      <c r="E128" s="112">
        <f>N128</f>
        <v>4.5659999999999998</v>
      </c>
      <c r="F128" s="112"/>
      <c r="G128" s="104">
        <f>P128</f>
        <v>75865.899999999994</v>
      </c>
      <c r="H128" s="104">
        <v>7.4320000000000004</v>
      </c>
      <c r="I128" s="104"/>
      <c r="J128" s="104">
        <v>248931</v>
      </c>
      <c r="K128" s="104"/>
      <c r="L128" s="104">
        <f>J128</f>
        <v>248931</v>
      </c>
      <c r="M128" s="104"/>
      <c r="N128" s="123">
        <v>4.5659999999999998</v>
      </c>
      <c r="O128" s="117"/>
      <c r="P128" s="104">
        <v>75865.899999999994</v>
      </c>
      <c r="Q128" s="104"/>
      <c r="R128" s="104">
        <f>P128</f>
        <v>75865.899999999994</v>
      </c>
      <c r="S128" s="104"/>
      <c r="T128" s="104"/>
      <c r="U128" s="104"/>
      <c r="V128" s="108"/>
      <c r="W128" s="21"/>
      <c r="X128" s="40"/>
      <c r="Y128" s="76"/>
      <c r="Z128" s="76"/>
      <c r="AA128" s="43"/>
      <c r="AB128" s="43"/>
      <c r="AC128" s="89"/>
    </row>
    <row r="129" spans="1:29" s="31" customFormat="1" ht="32.25" customHeight="1">
      <c r="A129" s="172" t="s">
        <v>117</v>
      </c>
      <c r="B129" s="172"/>
      <c r="C129" s="172"/>
      <c r="D129" s="122"/>
      <c r="E129" s="105">
        <f>SUM(E127:E128)</f>
        <v>30.081</v>
      </c>
      <c r="F129" s="105"/>
      <c r="G129" s="105">
        <f>SUM(G127:G128)</f>
        <v>888506.51877000008</v>
      </c>
      <c r="H129" s="105">
        <f>SUM(H127:H128)</f>
        <v>14.242000000000001</v>
      </c>
      <c r="I129" s="105"/>
      <c r="J129" s="105">
        <f>SUM(J127:J128)</f>
        <v>412166.96216</v>
      </c>
      <c r="K129" s="105">
        <f>SUM(K127:K128)</f>
        <v>0</v>
      </c>
      <c r="L129" s="105">
        <f>SUM(L127:L128)</f>
        <v>412166.96216</v>
      </c>
      <c r="M129" s="105"/>
      <c r="N129" s="105">
        <f>SUM(N127:N128)</f>
        <v>18.081</v>
      </c>
      <c r="O129" s="105"/>
      <c r="P129" s="105">
        <f>SUM(P127:P128)</f>
        <v>358506.51876999997</v>
      </c>
      <c r="Q129" s="105">
        <f>SUM(Q127:Q128)</f>
        <v>134082.17958</v>
      </c>
      <c r="R129" s="105">
        <f>SUM(R127:R128)</f>
        <v>224424.33919</v>
      </c>
      <c r="S129" s="105"/>
      <c r="T129" s="105">
        <f>SUM(T127:T128)</f>
        <v>6</v>
      </c>
      <c r="U129" s="105"/>
      <c r="V129" s="105">
        <f>SUM(V127:V128)</f>
        <v>420491.63490999996</v>
      </c>
      <c r="W129" s="68">
        <f>SUM(W127:W128)</f>
        <v>370032.63166974648</v>
      </c>
      <c r="X129" s="34">
        <f>SUM(X127:X128)</f>
        <v>50459.003240253485</v>
      </c>
      <c r="Y129" s="68">
        <f>SUM(Y127:Y128)</f>
        <v>6</v>
      </c>
      <c r="Z129" s="68"/>
      <c r="AA129" s="68">
        <f>SUM(AA127:AA128)</f>
        <v>109508.36509000001</v>
      </c>
      <c r="AB129" s="68">
        <f>SUM(AB127:AB128)</f>
        <v>89796.859373800005</v>
      </c>
      <c r="AC129" s="17">
        <f>SUM(AC127:AC128)</f>
        <v>19711.505716200001</v>
      </c>
    </row>
    <row r="130" spans="1:29" s="31" customFormat="1" ht="28.5" customHeight="1">
      <c r="A130" s="170" t="s">
        <v>27</v>
      </c>
      <c r="B130" s="170"/>
      <c r="C130" s="130"/>
      <c r="D130" s="122"/>
      <c r="E130" s="105"/>
      <c r="F130" s="105"/>
      <c r="G130" s="105"/>
      <c r="H130" s="105"/>
      <c r="I130" s="105"/>
      <c r="J130" s="105"/>
      <c r="K130" s="105"/>
      <c r="L130" s="105"/>
      <c r="M130" s="105"/>
      <c r="N130" s="105"/>
      <c r="O130" s="105"/>
      <c r="P130" s="105"/>
      <c r="Q130" s="105"/>
      <c r="R130" s="105"/>
      <c r="S130" s="105"/>
      <c r="T130" s="105"/>
      <c r="U130" s="105"/>
      <c r="V130" s="106"/>
      <c r="W130" s="68"/>
      <c r="X130" s="34"/>
      <c r="Y130" s="76"/>
      <c r="Z130" s="76"/>
      <c r="AA130" s="43"/>
      <c r="AB130" s="43"/>
      <c r="AC130" s="89"/>
    </row>
    <row r="131" spans="1:29" s="31" customFormat="1" ht="50.25" customHeight="1">
      <c r="A131" s="100">
        <v>47</v>
      </c>
      <c r="B131" s="124" t="s">
        <v>118</v>
      </c>
      <c r="C131" s="101" t="s">
        <v>23</v>
      </c>
      <c r="D131" s="122"/>
      <c r="E131" s="117">
        <v>3.8</v>
      </c>
      <c r="F131" s="105"/>
      <c r="G131" s="104">
        <v>91396.939280000006</v>
      </c>
      <c r="H131" s="105"/>
      <c r="I131" s="105"/>
      <c r="J131" s="105"/>
      <c r="K131" s="105"/>
      <c r="L131" s="105"/>
      <c r="M131" s="105"/>
      <c r="N131" s="103">
        <f>E131</f>
        <v>3.8</v>
      </c>
      <c r="O131" s="105"/>
      <c r="P131" s="104">
        <f>G131</f>
        <v>91396.939280000006</v>
      </c>
      <c r="Q131" s="104">
        <v>85913.121599999999</v>
      </c>
      <c r="R131" s="104">
        <f>P131-Q131</f>
        <v>5483.8176800000074</v>
      </c>
      <c r="S131" s="105"/>
      <c r="T131" s="105"/>
      <c r="U131" s="105"/>
      <c r="V131" s="106"/>
      <c r="W131" s="68"/>
      <c r="X131" s="34"/>
      <c r="Y131" s="76"/>
      <c r="Z131" s="76"/>
      <c r="AA131" s="43"/>
      <c r="AB131" s="43"/>
      <c r="AC131" s="89"/>
    </row>
    <row r="132" spans="1:29" s="31" customFormat="1" ht="43.5" customHeight="1">
      <c r="A132" s="100">
        <v>48</v>
      </c>
      <c r="B132" s="124" t="s">
        <v>119</v>
      </c>
      <c r="C132" s="101" t="s">
        <v>23</v>
      </c>
      <c r="D132" s="122"/>
      <c r="E132" s="103">
        <v>5</v>
      </c>
      <c r="F132" s="105"/>
      <c r="G132" s="104">
        <v>119407.55494</v>
      </c>
      <c r="H132" s="105"/>
      <c r="I132" s="105"/>
      <c r="J132" s="105"/>
      <c r="K132" s="105"/>
      <c r="L132" s="105"/>
      <c r="M132" s="105"/>
      <c r="N132" s="103">
        <f>E132</f>
        <v>5</v>
      </c>
      <c r="O132" s="105"/>
      <c r="P132" s="104">
        <f>G132</f>
        <v>119407.55494</v>
      </c>
      <c r="Q132" s="104">
        <v>112243.09991999999</v>
      </c>
      <c r="R132" s="104">
        <f>P132-Q132</f>
        <v>7164.4550200000085</v>
      </c>
      <c r="S132" s="105"/>
      <c r="T132" s="105"/>
      <c r="U132" s="105"/>
      <c r="V132" s="106" t="s">
        <v>56</v>
      </c>
      <c r="W132" s="68"/>
      <c r="X132" s="34"/>
      <c r="Y132" s="76"/>
      <c r="Z132" s="76"/>
      <c r="AA132" s="43"/>
      <c r="AB132" s="43"/>
      <c r="AC132" s="89"/>
    </row>
    <row r="133" spans="1:29" s="31" customFormat="1" ht="35.25" customHeight="1">
      <c r="A133" s="100">
        <v>49</v>
      </c>
      <c r="B133" s="131" t="s">
        <v>156</v>
      </c>
      <c r="C133" s="101" t="s">
        <v>23</v>
      </c>
      <c r="D133" s="101"/>
      <c r="E133" s="103">
        <v>2.8</v>
      </c>
      <c r="F133" s="132"/>
      <c r="G133" s="115">
        <v>93508.410730000003</v>
      </c>
      <c r="H133" s="105"/>
      <c r="I133" s="105"/>
      <c r="J133" s="105"/>
      <c r="K133" s="105"/>
      <c r="L133" s="105"/>
      <c r="M133" s="105"/>
      <c r="N133" s="103"/>
      <c r="O133" s="105"/>
      <c r="P133" s="104"/>
      <c r="Q133" s="104"/>
      <c r="R133" s="104"/>
      <c r="S133" s="105"/>
      <c r="T133" s="103">
        <f>E133</f>
        <v>2.8</v>
      </c>
      <c r="U133" s="104"/>
      <c r="V133" s="108">
        <f>G133</f>
        <v>93508.410730000003</v>
      </c>
      <c r="W133" s="21">
        <f t="shared" ref="W133" si="22">V133*0.879999983231406</f>
        <v>82287.399874395429</v>
      </c>
      <c r="X133" s="40">
        <f>V133-W133</f>
        <v>11221.010855604574</v>
      </c>
      <c r="Y133" s="76"/>
      <c r="Z133" s="76"/>
      <c r="AA133" s="43"/>
      <c r="AB133" s="43"/>
      <c r="AC133" s="89"/>
    </row>
    <row r="134" spans="1:29" s="31" customFormat="1" ht="31.5" customHeight="1">
      <c r="A134" s="172" t="s">
        <v>120</v>
      </c>
      <c r="B134" s="172"/>
      <c r="C134" s="122"/>
      <c r="D134" s="122"/>
      <c r="E134" s="125">
        <f>SUM(E131:E133)</f>
        <v>11.600000000000001</v>
      </c>
      <c r="F134" s="104"/>
      <c r="G134" s="105">
        <f>SUM(G131:G133)</f>
        <v>304312.90495</v>
      </c>
      <c r="H134" s="105"/>
      <c r="I134" s="105"/>
      <c r="J134" s="105"/>
      <c r="K134" s="105"/>
      <c r="L134" s="105"/>
      <c r="M134" s="105"/>
      <c r="N134" s="125">
        <f>SUM(N131:N132)</f>
        <v>8.8000000000000007</v>
      </c>
      <c r="O134" s="105"/>
      <c r="P134" s="105">
        <f>SUM(P131:P132)</f>
        <v>210804.49421999999</v>
      </c>
      <c r="Q134" s="105">
        <f>SUM(Q131:Q132)</f>
        <v>198156.22151999999</v>
      </c>
      <c r="R134" s="105">
        <f>SUM(R131:R132)</f>
        <v>12648.272700000016</v>
      </c>
      <c r="S134" s="105"/>
      <c r="T134" s="105">
        <f>SUM(T133)</f>
        <v>2.8</v>
      </c>
      <c r="U134" s="105"/>
      <c r="V134" s="106">
        <f>SUM(V133)</f>
        <v>93508.410730000003</v>
      </c>
      <c r="W134" s="68">
        <f>SUM(W133)</f>
        <v>82287.399874395429</v>
      </c>
      <c r="X134" s="34">
        <f>SUM(X133)</f>
        <v>11221.010855604574</v>
      </c>
      <c r="Y134" s="78"/>
      <c r="Z134" s="76"/>
      <c r="AA134" s="43"/>
      <c r="AB134" s="43"/>
      <c r="AC134" s="89"/>
    </row>
    <row r="135" spans="1:29" s="31" customFormat="1" ht="36" customHeight="1">
      <c r="A135" s="170" t="s">
        <v>121</v>
      </c>
      <c r="B135" s="170"/>
      <c r="C135" s="171"/>
      <c r="D135" s="171"/>
      <c r="E135" s="171"/>
      <c r="F135" s="107"/>
      <c r="G135" s="105"/>
      <c r="H135" s="101"/>
      <c r="I135" s="104"/>
      <c r="J135" s="104"/>
      <c r="K135" s="104"/>
      <c r="L135" s="104"/>
      <c r="M135" s="104"/>
      <c r="N135" s="104"/>
      <c r="O135" s="101"/>
      <c r="P135" s="104"/>
      <c r="Q135" s="104"/>
      <c r="R135" s="104"/>
      <c r="S135" s="104"/>
      <c r="T135" s="104"/>
      <c r="U135" s="104"/>
      <c r="V135" s="108"/>
      <c r="W135" s="21"/>
      <c r="X135" s="40"/>
      <c r="Y135" s="76"/>
      <c r="Z135" s="76"/>
      <c r="AA135" s="43"/>
      <c r="AB135" s="43"/>
      <c r="AC135" s="89"/>
    </row>
    <row r="136" spans="1:29" s="31" customFormat="1" ht="45" hidden="1" customHeight="1">
      <c r="A136" s="100">
        <v>55</v>
      </c>
      <c r="B136" s="124" t="s">
        <v>122</v>
      </c>
      <c r="C136" s="101" t="s">
        <v>23</v>
      </c>
      <c r="D136" s="101"/>
      <c r="E136" s="117">
        <v>8.32</v>
      </c>
      <c r="F136" s="117"/>
      <c r="G136" s="104">
        <v>203076.71726999999</v>
      </c>
      <c r="H136" s="103">
        <f>E136</f>
        <v>8.32</v>
      </c>
      <c r="I136" s="104"/>
      <c r="J136" s="104">
        <f>G136</f>
        <v>203076.71726999999</v>
      </c>
      <c r="K136" s="104"/>
      <c r="L136" s="104">
        <f>J136</f>
        <v>203076.71726999999</v>
      </c>
      <c r="M136" s="104"/>
      <c r="N136" s="117"/>
      <c r="O136" s="103"/>
      <c r="P136" s="104"/>
      <c r="Q136" s="104"/>
      <c r="R136" s="104"/>
      <c r="S136" s="104"/>
      <c r="T136" s="104"/>
      <c r="U136" s="104"/>
      <c r="V136" s="108"/>
      <c r="W136" s="21"/>
      <c r="X136" s="40"/>
      <c r="Y136" s="76"/>
      <c r="Z136" s="76"/>
      <c r="AA136" s="43"/>
      <c r="AB136" s="43"/>
      <c r="AC136" s="89"/>
    </row>
    <row r="137" spans="1:29" s="31" customFormat="1" ht="45" customHeight="1">
      <c r="A137" s="100">
        <v>50</v>
      </c>
      <c r="B137" s="124" t="s">
        <v>166</v>
      </c>
      <c r="C137" s="101" t="s">
        <v>23</v>
      </c>
      <c r="D137" s="101"/>
      <c r="E137" s="117">
        <f>18-12.914</f>
        <v>5.0860000000000003</v>
      </c>
      <c r="F137" s="117"/>
      <c r="G137" s="104">
        <f>135455.11674</f>
        <v>135455.11674</v>
      </c>
      <c r="H137" s="103"/>
      <c r="I137" s="104"/>
      <c r="J137" s="104"/>
      <c r="K137" s="104"/>
      <c r="L137" s="104"/>
      <c r="M137" s="104"/>
      <c r="N137" s="117">
        <f>E137</f>
        <v>5.0860000000000003</v>
      </c>
      <c r="O137" s="103"/>
      <c r="P137" s="104">
        <f>G137</f>
        <v>135455.11674</v>
      </c>
      <c r="Q137" s="104">
        <f t="shared" ref="Q137" si="23">P137*0.939999985532419</f>
        <v>127327.80777589213</v>
      </c>
      <c r="R137" s="104">
        <f>P137-Q137</f>
        <v>8127.3089641078695</v>
      </c>
      <c r="S137" s="104"/>
      <c r="T137" s="103"/>
      <c r="U137" s="104"/>
      <c r="V137" s="108"/>
      <c r="W137" s="40"/>
      <c r="X137" s="40"/>
      <c r="Y137" s="76"/>
      <c r="Z137" s="76"/>
      <c r="AA137" s="43"/>
      <c r="AB137" s="43"/>
      <c r="AC137" s="89"/>
    </row>
    <row r="138" spans="1:29" s="31" customFormat="1" ht="27" customHeight="1">
      <c r="A138" s="114"/>
      <c r="B138" s="61" t="s">
        <v>46</v>
      </c>
      <c r="C138" s="101"/>
      <c r="D138" s="101"/>
      <c r="E138" s="119">
        <f>N138</f>
        <v>3.5379999999999998</v>
      </c>
      <c r="F138" s="112"/>
      <c r="G138" s="104">
        <f>P138</f>
        <v>51970.1</v>
      </c>
      <c r="H138" s="104">
        <v>10.592000000000001</v>
      </c>
      <c r="I138" s="104"/>
      <c r="J138" s="104">
        <v>204675</v>
      </c>
      <c r="K138" s="104"/>
      <c r="L138" s="104">
        <f>J138</f>
        <v>204675</v>
      </c>
      <c r="M138" s="104"/>
      <c r="N138" s="117">
        <v>3.5379999999999998</v>
      </c>
      <c r="O138" s="103"/>
      <c r="P138" s="104">
        <v>51970.1</v>
      </c>
      <c r="Q138" s="103"/>
      <c r="R138" s="104">
        <f>P138</f>
        <v>51970.1</v>
      </c>
      <c r="S138" s="104"/>
      <c r="T138" s="104"/>
      <c r="U138" s="104"/>
      <c r="V138" s="108"/>
      <c r="W138" s="21"/>
      <c r="X138" s="40"/>
      <c r="Y138" s="76"/>
      <c r="Z138" s="76"/>
      <c r="AA138" s="43"/>
      <c r="AB138" s="43"/>
      <c r="AC138" s="89"/>
    </row>
    <row r="139" spans="1:29" s="31" customFormat="1" ht="51.75" customHeight="1">
      <c r="A139" s="172" t="s">
        <v>123</v>
      </c>
      <c r="B139" s="172"/>
      <c r="C139" s="172"/>
      <c r="D139" s="122"/>
      <c r="E139" s="113">
        <f>E137+E138</f>
        <v>8.6240000000000006</v>
      </c>
      <c r="F139" s="113"/>
      <c r="G139" s="105">
        <f>G137+G138</f>
        <v>187425.21674</v>
      </c>
      <c r="H139" s="113">
        <f>SUM(H136:H138)</f>
        <v>18.911999999999999</v>
      </c>
      <c r="I139" s="105"/>
      <c r="J139" s="105">
        <f>SUM(J136:J138)</f>
        <v>407751.71727000002</v>
      </c>
      <c r="K139" s="105"/>
      <c r="L139" s="105">
        <f>SUM(L136:L138)</f>
        <v>407751.71727000002</v>
      </c>
      <c r="M139" s="105"/>
      <c r="N139" s="105">
        <f>SUM(N137:N138)</f>
        <v>8.6240000000000006</v>
      </c>
      <c r="O139" s="113"/>
      <c r="P139" s="105">
        <f>SUM(P137:P138)</f>
        <v>187425.21674</v>
      </c>
      <c r="Q139" s="105">
        <f>SUM(Q137:Q138)</f>
        <v>127327.80777589213</v>
      </c>
      <c r="R139" s="105">
        <f>SUM(R137:R138)</f>
        <v>60097.408964107868</v>
      </c>
      <c r="S139" s="105"/>
      <c r="T139" s="105">
        <f>SUM(T137:T138)</f>
        <v>0</v>
      </c>
      <c r="U139" s="105" t="s">
        <v>56</v>
      </c>
      <c r="V139" s="106">
        <f>SUM(V137:V138)</f>
        <v>0</v>
      </c>
      <c r="W139" s="68">
        <f>SUM(W137:W138)</f>
        <v>0</v>
      </c>
      <c r="X139" s="34">
        <f>SUM(X137:X138)</f>
        <v>0</v>
      </c>
      <c r="Y139" s="78"/>
      <c r="Z139" s="76"/>
      <c r="AA139" s="43"/>
      <c r="AB139" s="43"/>
      <c r="AC139" s="89"/>
    </row>
    <row r="140" spans="1:29" s="31" customFormat="1" ht="27.75" customHeight="1">
      <c r="A140" s="170" t="s">
        <v>124</v>
      </c>
      <c r="B140" s="170"/>
      <c r="C140" s="171"/>
      <c r="D140" s="171"/>
      <c r="E140" s="171"/>
      <c r="F140" s="107"/>
      <c r="G140" s="105"/>
      <c r="H140" s="101"/>
      <c r="I140" s="104"/>
      <c r="J140" s="104"/>
      <c r="K140" s="104"/>
      <c r="L140" s="104"/>
      <c r="M140" s="104"/>
      <c r="N140" s="104"/>
      <c r="O140" s="101"/>
      <c r="P140" s="104"/>
      <c r="Q140" s="104"/>
      <c r="R140" s="104"/>
      <c r="S140" s="104"/>
      <c r="T140" s="104"/>
      <c r="U140" s="104"/>
      <c r="V140" s="108"/>
      <c r="W140" s="21"/>
      <c r="X140" s="40"/>
      <c r="Y140" s="76"/>
      <c r="Z140" s="76"/>
      <c r="AA140" s="43"/>
      <c r="AB140" s="43"/>
      <c r="AC140" s="89"/>
    </row>
    <row r="141" spans="1:29" s="31" customFormat="1" ht="27.75" hidden="1" customHeight="1">
      <c r="A141" s="100">
        <v>57</v>
      </c>
      <c r="B141" s="124" t="s">
        <v>125</v>
      </c>
      <c r="C141" s="101" t="s">
        <v>23</v>
      </c>
      <c r="D141" s="101"/>
      <c r="E141" s="117">
        <v>3.23</v>
      </c>
      <c r="F141" s="104"/>
      <c r="G141" s="104">
        <v>85329.787089999998</v>
      </c>
      <c r="H141" s="117">
        <f>E141</f>
        <v>3.23</v>
      </c>
      <c r="I141" s="104"/>
      <c r="J141" s="104">
        <f>G141</f>
        <v>85329.787089999998</v>
      </c>
      <c r="K141" s="104"/>
      <c r="L141" s="104">
        <f>J141</f>
        <v>85329.787089999998</v>
      </c>
      <c r="M141" s="104"/>
      <c r="N141" s="104"/>
      <c r="O141" s="101"/>
      <c r="P141" s="104"/>
      <c r="Q141" s="104"/>
      <c r="R141" s="104"/>
      <c r="S141" s="104"/>
      <c r="T141" s="104"/>
      <c r="U141" s="104"/>
      <c r="V141" s="108"/>
      <c r="W141" s="21"/>
      <c r="X141" s="40"/>
      <c r="Y141" s="76"/>
      <c r="Z141" s="76"/>
      <c r="AA141" s="43"/>
      <c r="AB141" s="43"/>
      <c r="AC141" s="89"/>
    </row>
    <row r="142" spans="1:29" s="31" customFormat="1" ht="42" customHeight="1">
      <c r="A142" s="100">
        <v>51</v>
      </c>
      <c r="B142" s="124" t="s">
        <v>126</v>
      </c>
      <c r="C142" s="101" t="s">
        <v>40</v>
      </c>
      <c r="D142" s="101"/>
      <c r="E142" s="117">
        <v>6.4</v>
      </c>
      <c r="F142" s="104"/>
      <c r="G142" s="104">
        <v>242590.80277000001</v>
      </c>
      <c r="H142" s="117"/>
      <c r="I142" s="104"/>
      <c r="J142" s="104"/>
      <c r="K142" s="104"/>
      <c r="L142" s="104"/>
      <c r="M142" s="104"/>
      <c r="N142" s="104"/>
      <c r="O142" s="101"/>
      <c r="P142" s="104"/>
      <c r="Q142" s="104"/>
      <c r="R142" s="104"/>
      <c r="S142" s="104"/>
      <c r="T142" s="103">
        <f>E142</f>
        <v>6.4</v>
      </c>
      <c r="U142" s="104"/>
      <c r="V142" s="108">
        <f>G142</f>
        <v>242590.80277000001</v>
      </c>
      <c r="W142" s="21">
        <f t="shared" ref="W142" si="24">V142*0.879999983231406</f>
        <v>213479.90236969333</v>
      </c>
      <c r="X142" s="40">
        <f>V142-W142</f>
        <v>29110.90040030668</v>
      </c>
      <c r="Y142" s="76"/>
      <c r="Z142" s="76"/>
      <c r="AA142" s="43"/>
      <c r="AB142" s="43"/>
      <c r="AC142" s="89"/>
    </row>
    <row r="143" spans="1:29" s="31" customFormat="1" ht="27" customHeight="1">
      <c r="A143" s="114"/>
      <c r="B143" s="61" t="s">
        <v>46</v>
      </c>
      <c r="C143" s="101"/>
      <c r="D143" s="101"/>
      <c r="E143" s="112">
        <f>N143</f>
        <v>5.024</v>
      </c>
      <c r="F143" s="112"/>
      <c r="G143" s="104">
        <f>P143</f>
        <v>41958.2</v>
      </c>
      <c r="H143" s="104">
        <v>10.202</v>
      </c>
      <c r="I143" s="104"/>
      <c r="J143" s="104">
        <v>132500</v>
      </c>
      <c r="K143" s="104"/>
      <c r="L143" s="104">
        <f>J143</f>
        <v>132500</v>
      </c>
      <c r="M143" s="104"/>
      <c r="N143" s="104">
        <v>5.024</v>
      </c>
      <c r="O143" s="129"/>
      <c r="P143" s="104">
        <v>41958.2</v>
      </c>
      <c r="Q143" s="104"/>
      <c r="R143" s="104">
        <f>P143</f>
        <v>41958.2</v>
      </c>
      <c r="S143" s="104"/>
      <c r="T143" s="104"/>
      <c r="U143" s="104"/>
      <c r="V143" s="108"/>
      <c r="W143" s="21"/>
      <c r="X143" s="40"/>
      <c r="Y143" s="76"/>
      <c r="Z143" s="76"/>
      <c r="AA143" s="43"/>
      <c r="AB143" s="43"/>
      <c r="AC143" s="89"/>
    </row>
    <row r="144" spans="1:29" s="31" customFormat="1" ht="50.25" customHeight="1">
      <c r="A144" s="172" t="s">
        <v>127</v>
      </c>
      <c r="B144" s="172"/>
      <c r="C144" s="172"/>
      <c r="D144" s="122"/>
      <c r="E144" s="105">
        <f>E142+E143</f>
        <v>11.423999999999999</v>
      </c>
      <c r="F144" s="105"/>
      <c r="G144" s="105">
        <f>G142+G143</f>
        <v>284549.00277000002</v>
      </c>
      <c r="H144" s="105">
        <f>SUM(H141:H143)</f>
        <v>13.432</v>
      </c>
      <c r="I144" s="105"/>
      <c r="J144" s="105">
        <f>SUM(J141:J143)</f>
        <v>217829.78709</v>
      </c>
      <c r="K144" s="105">
        <f>SUM(K143:K143)</f>
        <v>0</v>
      </c>
      <c r="L144" s="105">
        <f>SUM(L141:L143)</f>
        <v>217829.78709</v>
      </c>
      <c r="M144" s="105"/>
      <c r="N144" s="105">
        <f>SUM(N141:N143)</f>
        <v>5.024</v>
      </c>
      <c r="O144" s="105"/>
      <c r="P144" s="105">
        <f>SUM(P141:P143)</f>
        <v>41958.2</v>
      </c>
      <c r="Q144" s="105">
        <f>SUM(Q141:Q143)</f>
        <v>0</v>
      </c>
      <c r="R144" s="105">
        <f>SUM(R141:R143)</f>
        <v>41958.2</v>
      </c>
      <c r="S144" s="105"/>
      <c r="T144" s="105">
        <f>SUM(T142:T143)</f>
        <v>6.4</v>
      </c>
      <c r="U144" s="105"/>
      <c r="V144" s="106">
        <f>SUM(V142:V143)</f>
        <v>242590.80277000001</v>
      </c>
      <c r="W144" s="68">
        <f>SUM(W142:W143)</f>
        <v>213479.90236969333</v>
      </c>
      <c r="X144" s="34">
        <f>SUM(X142:X143)</f>
        <v>29110.90040030668</v>
      </c>
      <c r="Y144" s="78"/>
      <c r="Z144" s="76"/>
      <c r="AA144" s="43"/>
      <c r="AB144" s="43"/>
      <c r="AC144" s="89"/>
    </row>
    <row r="145" spans="1:30" s="31" customFormat="1" ht="27" hidden="1" customHeight="1">
      <c r="A145" s="111"/>
      <c r="B145" s="133" t="s">
        <v>128</v>
      </c>
      <c r="C145" s="129"/>
      <c r="D145" s="129"/>
      <c r="E145" s="119"/>
      <c r="F145" s="119"/>
      <c r="G145" s="104"/>
      <c r="H145" s="103"/>
      <c r="I145" s="118"/>
      <c r="J145" s="104"/>
      <c r="K145" s="104"/>
      <c r="L145" s="104"/>
      <c r="M145" s="104"/>
      <c r="N145" s="134"/>
      <c r="O145" s="104"/>
      <c r="P145" s="118"/>
      <c r="Q145" s="118"/>
      <c r="R145" s="118"/>
      <c r="S145" s="118"/>
      <c r="T145" s="118"/>
      <c r="U145" s="134"/>
      <c r="V145" s="135"/>
      <c r="W145" s="41"/>
      <c r="X145" s="44"/>
      <c r="Y145" s="43"/>
      <c r="Z145" s="43"/>
      <c r="AA145" s="43"/>
      <c r="AB145" s="43"/>
      <c r="AC145" s="89"/>
    </row>
    <row r="146" spans="1:30" s="31" customFormat="1" ht="29.25" hidden="1" customHeight="1">
      <c r="A146" s="111"/>
      <c r="B146" s="61" t="s">
        <v>46</v>
      </c>
      <c r="C146" s="129"/>
      <c r="D146" s="129"/>
      <c r="E146" s="117"/>
      <c r="F146" s="117"/>
      <c r="G146" s="104"/>
      <c r="H146" s="103"/>
      <c r="I146" s="118"/>
      <c r="J146" s="104"/>
      <c r="K146" s="104"/>
      <c r="L146" s="104"/>
      <c r="M146" s="104"/>
      <c r="N146" s="134"/>
      <c r="O146" s="104"/>
      <c r="P146" s="118"/>
      <c r="Q146" s="118"/>
      <c r="R146" s="118"/>
      <c r="S146" s="118"/>
      <c r="T146" s="118"/>
      <c r="U146" s="134"/>
      <c r="V146" s="135"/>
      <c r="W146" s="41"/>
      <c r="X146" s="44"/>
      <c r="Y146" s="43"/>
      <c r="Z146" s="43"/>
      <c r="AA146" s="43"/>
      <c r="AB146" s="43"/>
      <c r="AC146" s="89"/>
    </row>
    <row r="147" spans="1:30" s="31" customFormat="1" ht="34.5" hidden="1" customHeight="1">
      <c r="A147" s="177" t="s">
        <v>129</v>
      </c>
      <c r="B147" s="177"/>
      <c r="C147" s="177"/>
      <c r="D147" s="129"/>
      <c r="E147" s="136">
        <f>SUM(E146)</f>
        <v>0</v>
      </c>
      <c r="F147" s="136"/>
      <c r="G147" s="105">
        <f>SUM(G146)</f>
        <v>0</v>
      </c>
      <c r="H147" s="137">
        <f>SUM(H146)</f>
        <v>0</v>
      </c>
      <c r="I147" s="136"/>
      <c r="J147" s="105">
        <f>SUM(J146)</f>
        <v>0</v>
      </c>
      <c r="K147" s="118"/>
      <c r="L147" s="105">
        <f>SUM(L146)</f>
        <v>0</v>
      </c>
      <c r="M147" s="105"/>
      <c r="N147" s="134"/>
      <c r="O147" s="104"/>
      <c r="P147" s="118"/>
      <c r="Q147" s="118"/>
      <c r="R147" s="118"/>
      <c r="S147" s="118"/>
      <c r="T147" s="118"/>
      <c r="U147" s="134"/>
      <c r="V147" s="135"/>
      <c r="W147" s="41"/>
      <c r="X147" s="44"/>
      <c r="Y147" s="43"/>
      <c r="Z147" s="43"/>
      <c r="AA147" s="43"/>
      <c r="AB147" s="43"/>
      <c r="AC147" s="89"/>
    </row>
    <row r="148" spans="1:30" s="31" customFormat="1" ht="25.5" customHeight="1">
      <c r="A148" s="111"/>
      <c r="B148" s="61"/>
      <c r="C148" s="129"/>
      <c r="D148" s="129"/>
      <c r="E148" s="119"/>
      <c r="F148" s="119"/>
      <c r="G148" s="104"/>
      <c r="H148" s="103"/>
      <c r="I148" s="118"/>
      <c r="J148" s="104">
        <f>K148+L148</f>
        <v>3.1999999999534339</v>
      </c>
      <c r="K148" s="104">
        <f>1756093.2-1756090</f>
        <v>3.1999999999534339</v>
      </c>
      <c r="L148" s="104"/>
      <c r="M148" s="104"/>
      <c r="N148" s="134"/>
      <c r="O148" s="104"/>
      <c r="P148" s="104"/>
      <c r="Q148" s="104"/>
      <c r="R148" s="104"/>
      <c r="S148" s="118"/>
      <c r="T148" s="118"/>
      <c r="U148" s="134"/>
      <c r="V148" s="135"/>
      <c r="W148" s="41"/>
      <c r="X148" s="44"/>
      <c r="Y148" s="43"/>
      <c r="Z148" s="43"/>
      <c r="AA148" s="43"/>
      <c r="AB148" s="43"/>
      <c r="AC148" s="89"/>
    </row>
    <row r="149" spans="1:30" s="45" customFormat="1" ht="39.75" hidden="1" customHeight="1">
      <c r="A149" s="138"/>
      <c r="B149" s="178" t="s">
        <v>19</v>
      </c>
      <c r="C149" s="178"/>
      <c r="D149" s="178"/>
      <c r="E149" s="178"/>
      <c r="F149" s="178"/>
      <c r="G149" s="178"/>
      <c r="H149" s="178"/>
      <c r="I149" s="178"/>
      <c r="J149" s="178"/>
      <c r="K149" s="178"/>
      <c r="L149" s="178"/>
      <c r="M149" s="178"/>
      <c r="N149" s="178"/>
      <c r="O149" s="178"/>
      <c r="P149" s="178"/>
      <c r="Q149" s="178"/>
      <c r="R149" s="178"/>
      <c r="S149" s="178"/>
      <c r="T149" s="178"/>
      <c r="U149" s="178"/>
      <c r="V149" s="178"/>
      <c r="W149" s="15"/>
      <c r="X149" s="67"/>
      <c r="Y149" s="49"/>
      <c r="Z149" s="49"/>
      <c r="AA149" s="49"/>
      <c r="AB149" s="49"/>
      <c r="AC149" s="90"/>
    </row>
    <row r="150" spans="1:30" s="45" customFormat="1" ht="54.75" customHeight="1">
      <c r="A150" s="139">
        <v>3</v>
      </c>
      <c r="B150" s="140" t="s">
        <v>130</v>
      </c>
      <c r="C150" s="141"/>
      <c r="D150" s="142"/>
      <c r="E150" s="142"/>
      <c r="F150" s="143">
        <f>F152+F156</f>
        <v>788.23</v>
      </c>
      <c r="G150" s="143">
        <f>G152+G156</f>
        <v>937909.78588999994</v>
      </c>
      <c r="H150" s="143"/>
      <c r="I150" s="143" t="e">
        <f>#REF!+#REF!+#REF!+#REF!+#REF!+#REF!+#REF!+#REF!+#REF!+#REF!</f>
        <v>#REF!</v>
      </c>
      <c r="J150" s="143" t="e">
        <f>J166+#REF!+#REF!+J173+#REF!+#REF!+#REF!+#REF!+#REF!+#REF!+#REF!+#REF!</f>
        <v>#REF!</v>
      </c>
      <c r="K150" s="143"/>
      <c r="L150" s="143" t="e">
        <f>L166+#REF!+#REF!+L173+#REF!+#REF!+#REF!+#REF!+#REF!+#REF!+#REF!+#REF!+0.03</f>
        <v>#REF!</v>
      </c>
      <c r="M150" s="143" t="e">
        <f>M166+#REF!+#REF!+M173+#REF!+#REF!+#REF!+#REF!+#REF!+#REF!+#REF!+#REF!</f>
        <v>#REF!</v>
      </c>
      <c r="N150" s="143"/>
      <c r="O150" s="144">
        <f>O160+O166+O167+O169+O171+O173+O176+O178+O180+O182+O184</f>
        <v>788.23</v>
      </c>
      <c r="P150" s="143">
        <f>P160+P166+P167+P169+P171+P173+P176+P178+P180+P182+P184</f>
        <v>872909.81400000001</v>
      </c>
      <c r="Q150" s="143"/>
      <c r="R150" s="143">
        <f>R160+R166+R167+R169+R171+R173+R176+R178+R180+R182+R184</f>
        <v>845309.41716000007</v>
      </c>
      <c r="S150" s="143">
        <f>S160+S166+S167+S169+S173+S176+S178+S180+S182+S184</f>
        <v>27600.396840000001</v>
      </c>
      <c r="T150" s="142"/>
      <c r="U150" s="143"/>
      <c r="V150" s="143"/>
      <c r="W150" s="26"/>
      <c r="X150" s="74"/>
      <c r="Y150" s="81"/>
      <c r="Z150" s="81"/>
      <c r="AA150" s="49"/>
      <c r="AB150" s="49"/>
      <c r="AC150" s="90"/>
      <c r="AD150" s="47">
        <f>G150-P150</f>
        <v>64999.971889999928</v>
      </c>
    </row>
    <row r="151" spans="1:30" s="45" customFormat="1" ht="21.75" customHeight="1">
      <c r="A151" s="145"/>
      <c r="B151" s="146" t="s">
        <v>13</v>
      </c>
      <c r="C151" s="141"/>
      <c r="D151" s="142"/>
      <c r="E151" s="142"/>
      <c r="F151" s="141"/>
      <c r="G151" s="141"/>
      <c r="H151" s="142"/>
      <c r="I151" s="142"/>
      <c r="J151" s="142"/>
      <c r="K151" s="142"/>
      <c r="L151" s="142"/>
      <c r="M151" s="142"/>
      <c r="N151" s="142"/>
      <c r="O151" s="142"/>
      <c r="P151" s="142"/>
      <c r="Q151" s="142"/>
      <c r="R151" s="142"/>
      <c r="S151" s="142"/>
      <c r="T151" s="142"/>
      <c r="U151" s="142"/>
      <c r="V151" s="147"/>
      <c r="W151" s="15"/>
      <c r="X151" s="67"/>
      <c r="Y151" s="49"/>
      <c r="Z151" s="49"/>
      <c r="AA151" s="49"/>
      <c r="AB151" s="49"/>
      <c r="AC151" s="90"/>
    </row>
    <row r="152" spans="1:30" s="45" customFormat="1" ht="30" customHeight="1">
      <c r="A152" s="145"/>
      <c r="B152" s="140" t="s">
        <v>131</v>
      </c>
      <c r="C152" s="141"/>
      <c r="D152" s="142"/>
      <c r="E152" s="141"/>
      <c r="F152" s="143">
        <f>F166+F167+F169+F171+F173+F178+F180+F184</f>
        <v>498.74999999999994</v>
      </c>
      <c r="G152" s="143">
        <f>G166+G167+G169+G171+G173+G178+G180+G184</f>
        <v>477903.17189</v>
      </c>
      <c r="H152" s="143"/>
      <c r="I152" s="143" t="e">
        <f>#REF!+#REF!+#REF!+#REF!+#REF!+#REF!+#REF!</f>
        <v>#REF!</v>
      </c>
      <c r="J152" s="143" t="e">
        <f>J166+#REF!+J173+#REF!+#REF!+#REF!+#REF!+#REF!+#REF!+0.04</f>
        <v>#REF!</v>
      </c>
      <c r="K152" s="143"/>
      <c r="L152" s="143" t="e">
        <f>L166+#REF!+L173+#REF!+#REF!+#REF!+#REF!+#REF!+#REF!+0.04</f>
        <v>#REF!</v>
      </c>
      <c r="M152" s="143"/>
      <c r="N152" s="143"/>
      <c r="O152" s="144">
        <f>O166+O167+O169+O171+O173+O176+O178+O180+O184</f>
        <v>498.74999999999994</v>
      </c>
      <c r="P152" s="143">
        <f>P166+P167+P169+P171+P173+P176+P178+P180+P184</f>
        <v>412903.2</v>
      </c>
      <c r="Q152" s="143"/>
      <c r="R152" s="143">
        <f>R166+R167+R169+R171+R173+R176+R178+R180+R184</f>
        <v>412903.2</v>
      </c>
      <c r="S152" s="143"/>
      <c r="T152" s="142"/>
      <c r="U152" s="143"/>
      <c r="V152" s="143"/>
      <c r="W152" s="15"/>
      <c r="X152" s="74"/>
      <c r="Y152" s="81"/>
      <c r="Z152" s="81"/>
      <c r="AA152" s="49"/>
      <c r="AB152" s="49"/>
      <c r="AC152" s="90"/>
    </row>
    <row r="153" spans="1:30" s="45" customFormat="1" ht="32.25" hidden="1" customHeight="1">
      <c r="A153" s="145"/>
      <c r="B153" s="148" t="s">
        <v>132</v>
      </c>
      <c r="C153" s="141"/>
      <c r="D153" s="142"/>
      <c r="E153" s="141"/>
      <c r="F153" s="149">
        <f>F161</f>
        <v>0</v>
      </c>
      <c r="G153" s="149">
        <f>G161</f>
        <v>0</v>
      </c>
      <c r="H153" s="143"/>
      <c r="I153" s="143"/>
      <c r="J153" s="143"/>
      <c r="K153" s="143"/>
      <c r="L153" s="143"/>
      <c r="M153" s="143"/>
      <c r="N153" s="143"/>
      <c r="O153" s="143"/>
      <c r="P153" s="143"/>
      <c r="Q153" s="143"/>
      <c r="R153" s="143"/>
      <c r="S153" s="143"/>
      <c r="T153" s="142"/>
      <c r="U153" s="149"/>
      <c r="V153" s="149"/>
      <c r="W153" s="46"/>
      <c r="X153" s="75"/>
      <c r="Y153" s="81"/>
      <c r="Z153" s="81"/>
      <c r="AA153" s="49"/>
      <c r="AB153" s="49"/>
      <c r="AC153" s="90"/>
    </row>
    <row r="154" spans="1:30" s="45" customFormat="1" ht="28.5" customHeight="1">
      <c r="A154" s="145"/>
      <c r="B154" s="148" t="s">
        <v>133</v>
      </c>
      <c r="C154" s="142"/>
      <c r="D154" s="142"/>
      <c r="E154" s="141"/>
      <c r="F154" s="149">
        <f>F166+F173</f>
        <v>145.25</v>
      </c>
      <c r="G154" s="149">
        <f>G163+G166+G173</f>
        <v>347480.56552</v>
      </c>
      <c r="H154" s="143"/>
      <c r="I154" s="149"/>
      <c r="J154" s="149">
        <f>J166+J173</f>
        <v>64999.971890000001</v>
      </c>
      <c r="K154" s="143"/>
      <c r="L154" s="149">
        <f>L166+L173</f>
        <v>64999.971890000001</v>
      </c>
      <c r="M154" s="143"/>
      <c r="N154" s="143"/>
      <c r="O154" s="149">
        <f>O166+O173</f>
        <v>145.25</v>
      </c>
      <c r="P154" s="149">
        <f>P166+P173</f>
        <v>282480.59363000002</v>
      </c>
      <c r="Q154" s="143"/>
      <c r="R154" s="149">
        <f>R166+R173</f>
        <v>282480.59363000002</v>
      </c>
      <c r="S154" s="149"/>
      <c r="T154" s="142"/>
      <c r="U154" s="149"/>
      <c r="V154" s="149"/>
      <c r="W154" s="46"/>
      <c r="X154" s="75"/>
      <c r="Y154" s="49"/>
      <c r="Z154" s="82"/>
      <c r="AA154" s="49"/>
      <c r="AB154" s="49"/>
      <c r="AC154" s="90"/>
      <c r="AD154" s="47">
        <f>G152-P152</f>
        <v>64999.971889999986</v>
      </c>
    </row>
    <row r="155" spans="1:30" s="45" customFormat="1" ht="27.75" customHeight="1">
      <c r="A155" s="145"/>
      <c r="B155" s="148" t="s">
        <v>134</v>
      </c>
      <c r="C155" s="141"/>
      <c r="D155" s="142"/>
      <c r="E155" s="141"/>
      <c r="F155" s="149">
        <f>F152-F153-F154</f>
        <v>353.49999999999994</v>
      </c>
      <c r="G155" s="149">
        <f>G152-G153-G154</f>
        <v>130422.60636999999</v>
      </c>
      <c r="H155" s="143"/>
      <c r="I155" s="149" t="e">
        <f>I152-I154</f>
        <v>#REF!</v>
      </c>
      <c r="J155" s="149" t="e">
        <f>J152-J154</f>
        <v>#REF!</v>
      </c>
      <c r="K155" s="143"/>
      <c r="L155" s="149" t="e">
        <f>L152-L154</f>
        <v>#REF!</v>
      </c>
      <c r="M155" s="143"/>
      <c r="N155" s="143"/>
      <c r="O155" s="149">
        <f>O152-O154</f>
        <v>353.49999999999994</v>
      </c>
      <c r="P155" s="149">
        <f>P152-P154</f>
        <v>130422.60636999999</v>
      </c>
      <c r="Q155" s="143"/>
      <c r="R155" s="149">
        <f>R152-R154</f>
        <v>130422.60636999999</v>
      </c>
      <c r="S155" s="143"/>
      <c r="T155" s="142"/>
      <c r="U155" s="149"/>
      <c r="V155" s="149"/>
      <c r="W155" s="15"/>
      <c r="X155" s="75"/>
      <c r="Y155" s="49"/>
      <c r="Z155" s="81"/>
      <c r="AA155" s="49"/>
      <c r="AB155" s="49"/>
      <c r="AC155" s="90"/>
    </row>
    <row r="156" spans="1:30" s="45" customFormat="1" ht="38.25" customHeight="1">
      <c r="A156" s="145"/>
      <c r="B156" s="140" t="s">
        <v>135</v>
      </c>
      <c r="C156" s="141"/>
      <c r="D156" s="142"/>
      <c r="E156" s="141"/>
      <c r="F156" s="143">
        <f>F160+F182</f>
        <v>289.48</v>
      </c>
      <c r="G156" s="143">
        <f>G160+G182</f>
        <v>460006.614</v>
      </c>
      <c r="H156" s="150"/>
      <c r="I156" s="143" t="e">
        <f>#REF!+#REF!+#REF!</f>
        <v>#REF!</v>
      </c>
      <c r="J156" s="143" t="e">
        <f>#REF!+#REF!+#REF!</f>
        <v>#REF!</v>
      </c>
      <c r="K156" s="143"/>
      <c r="L156" s="143" t="e">
        <f>#REF!+#REF!+#REF!</f>
        <v>#REF!</v>
      </c>
      <c r="M156" s="143" t="e">
        <f>#REF!+#REF!+#REF!</f>
        <v>#REF!</v>
      </c>
      <c r="N156" s="142"/>
      <c r="O156" s="144">
        <f>O160+O182</f>
        <v>289.48</v>
      </c>
      <c r="P156" s="143">
        <f>P160+P182</f>
        <v>460006.614</v>
      </c>
      <c r="Q156" s="143"/>
      <c r="R156" s="143">
        <f>R160+R182</f>
        <v>432406.21716</v>
      </c>
      <c r="S156" s="143">
        <f>SUM(S160:S184)</f>
        <v>27600.396840000001</v>
      </c>
      <c r="T156" s="142"/>
      <c r="U156" s="141"/>
      <c r="V156" s="147"/>
      <c r="W156" s="15"/>
      <c r="X156" s="67"/>
      <c r="Y156" s="81"/>
      <c r="Z156" s="81"/>
      <c r="AA156" s="49"/>
      <c r="AB156" s="49"/>
      <c r="AC156" s="90"/>
    </row>
    <row r="157" spans="1:30" s="45" customFormat="1" ht="28.5" customHeight="1">
      <c r="A157" s="145"/>
      <c r="B157" s="148" t="s">
        <v>133</v>
      </c>
      <c r="C157" s="141"/>
      <c r="D157" s="142"/>
      <c r="E157" s="141"/>
      <c r="F157" s="149">
        <f xml:space="preserve"> F182</f>
        <v>216.28</v>
      </c>
      <c r="G157" s="149">
        <f>G182</f>
        <v>375000</v>
      </c>
      <c r="H157" s="150"/>
      <c r="I157" s="149" t="e">
        <f>#REF!</f>
        <v>#REF!</v>
      </c>
      <c r="J157" s="149" t="e">
        <f>#REF!</f>
        <v>#REF!</v>
      </c>
      <c r="K157" s="143"/>
      <c r="L157" s="149" t="e">
        <f>#REF!</f>
        <v>#REF!</v>
      </c>
      <c r="M157" s="149" t="e">
        <f>#REF!</f>
        <v>#REF!</v>
      </c>
      <c r="N157" s="142"/>
      <c r="O157" s="149">
        <f xml:space="preserve"> O182</f>
        <v>216.28</v>
      </c>
      <c r="P157" s="149">
        <f xml:space="preserve"> P182</f>
        <v>375000</v>
      </c>
      <c r="Q157" s="143"/>
      <c r="R157" s="149">
        <f xml:space="preserve"> R182</f>
        <v>352500</v>
      </c>
      <c r="S157" s="149">
        <f xml:space="preserve"> S182</f>
        <v>22500</v>
      </c>
      <c r="T157" s="142"/>
      <c r="U157" s="141"/>
      <c r="V157" s="147"/>
      <c r="W157" s="15"/>
      <c r="X157" s="67"/>
      <c r="Y157" s="81"/>
      <c r="Z157" s="81"/>
      <c r="AA157" s="49"/>
      <c r="AB157" s="49"/>
      <c r="AC157" s="90"/>
    </row>
    <row r="158" spans="1:30" s="45" customFormat="1" ht="30" customHeight="1">
      <c r="A158" s="145"/>
      <c r="B158" s="148" t="s">
        <v>134</v>
      </c>
      <c r="C158" s="141"/>
      <c r="D158" s="142"/>
      <c r="E158" s="141"/>
      <c r="F158" s="149">
        <f>F156-F157</f>
        <v>73.200000000000017</v>
      </c>
      <c r="G158" s="149">
        <f>G156-G157</f>
        <v>85006.614000000001</v>
      </c>
      <c r="H158" s="150"/>
      <c r="I158" s="149" t="e">
        <f>I156-I157</f>
        <v>#REF!</v>
      </c>
      <c r="J158" s="149" t="e">
        <f>J156-J157</f>
        <v>#REF!</v>
      </c>
      <c r="K158" s="143"/>
      <c r="L158" s="149" t="e">
        <f>L156-L157</f>
        <v>#REF!</v>
      </c>
      <c r="M158" s="149" t="e">
        <f>M156-M157</f>
        <v>#REF!</v>
      </c>
      <c r="N158" s="142"/>
      <c r="O158" s="149">
        <f>O156-O157</f>
        <v>73.200000000000017</v>
      </c>
      <c r="P158" s="149">
        <f>P156-P157</f>
        <v>85006.614000000001</v>
      </c>
      <c r="Q158" s="143"/>
      <c r="R158" s="149">
        <f>R156-R157</f>
        <v>79906.21716</v>
      </c>
      <c r="S158" s="149">
        <f>S156-S157</f>
        <v>5100.3968400000012</v>
      </c>
      <c r="T158" s="142"/>
      <c r="U158" s="141"/>
      <c r="V158" s="147"/>
      <c r="W158" s="15"/>
      <c r="X158" s="67"/>
      <c r="Y158" s="81"/>
      <c r="Z158" s="81"/>
      <c r="AA158" s="49"/>
      <c r="AB158" s="49"/>
      <c r="AC158" s="90"/>
    </row>
    <row r="159" spans="1:30" s="45" customFormat="1" ht="33" customHeight="1">
      <c r="A159" s="170" t="s">
        <v>21</v>
      </c>
      <c r="B159" s="170"/>
      <c r="C159" s="142"/>
      <c r="D159" s="142"/>
      <c r="E159" s="142"/>
      <c r="F159" s="142"/>
      <c r="G159" s="105"/>
      <c r="H159" s="142"/>
      <c r="I159" s="142"/>
      <c r="J159" s="105"/>
      <c r="K159" s="105"/>
      <c r="L159" s="105"/>
      <c r="M159" s="105"/>
      <c r="N159" s="142"/>
      <c r="O159" s="151"/>
      <c r="P159" s="105"/>
      <c r="Q159" s="105"/>
      <c r="R159" s="105"/>
      <c r="S159" s="105"/>
      <c r="T159" s="142"/>
      <c r="U159" s="142"/>
      <c r="V159" s="147"/>
      <c r="W159" s="15"/>
      <c r="X159" s="67"/>
      <c r="Y159" s="49"/>
      <c r="Z159" s="49"/>
      <c r="AA159" s="49"/>
      <c r="AB159" s="49"/>
      <c r="AC159" s="90"/>
    </row>
    <row r="160" spans="1:30" s="45" customFormat="1" ht="93.75" customHeight="1">
      <c r="A160" s="100">
        <v>1</v>
      </c>
      <c r="B160" s="110" t="s">
        <v>136</v>
      </c>
      <c r="C160" s="142"/>
      <c r="D160" s="142"/>
      <c r="E160" s="142"/>
      <c r="F160" s="104">
        <v>73.2</v>
      </c>
      <c r="G160" s="104">
        <v>85006.614000000001</v>
      </c>
      <c r="H160" s="142"/>
      <c r="I160" s="142"/>
      <c r="J160" s="105"/>
      <c r="K160" s="105"/>
      <c r="L160" s="105"/>
      <c r="M160" s="105"/>
      <c r="N160" s="142"/>
      <c r="O160" s="104">
        <f>F160</f>
        <v>73.2</v>
      </c>
      <c r="P160" s="104">
        <v>85006.614000000001</v>
      </c>
      <c r="Q160" s="105"/>
      <c r="R160" s="104">
        <f>P160-S160</f>
        <v>79906.21716</v>
      </c>
      <c r="S160" s="104">
        <f>P160*0.06</f>
        <v>5100.3968400000003</v>
      </c>
      <c r="T160" s="142"/>
      <c r="U160" s="142"/>
      <c r="V160" s="147"/>
      <c r="W160" s="15"/>
      <c r="X160" s="67"/>
      <c r="Y160" s="49"/>
      <c r="Z160" s="49"/>
      <c r="AA160" s="49"/>
      <c r="AB160" s="49"/>
      <c r="AC160" s="90"/>
    </row>
    <row r="161" spans="1:30" s="45" customFormat="1" ht="113.25" hidden="1" customHeight="1">
      <c r="A161" s="152"/>
      <c r="B161" s="110" t="s">
        <v>137</v>
      </c>
      <c r="C161" s="142"/>
      <c r="D161" s="142"/>
      <c r="E161" s="142"/>
      <c r="F161" s="104"/>
      <c r="G161" s="104"/>
      <c r="H161" s="142"/>
      <c r="I161" s="142"/>
      <c r="J161" s="105"/>
      <c r="K161" s="105"/>
      <c r="L161" s="105"/>
      <c r="M161" s="105"/>
      <c r="N161" s="142"/>
      <c r="O161" s="104"/>
      <c r="P161" s="104"/>
      <c r="Q161" s="105"/>
      <c r="R161" s="104"/>
      <c r="S161" s="104"/>
      <c r="T161" s="142"/>
      <c r="U161" s="104"/>
      <c r="V161" s="104"/>
      <c r="W161" s="68"/>
      <c r="X161" s="40"/>
      <c r="Y161" s="49"/>
      <c r="Z161" s="49"/>
      <c r="AA161" s="49"/>
      <c r="AB161" s="49"/>
      <c r="AC161" s="90"/>
    </row>
    <row r="162" spans="1:30" s="45" customFormat="1" ht="31.5" hidden="1" customHeight="1">
      <c r="A162" s="179" t="s">
        <v>34</v>
      </c>
      <c r="B162" s="179"/>
      <c r="C162" s="142"/>
      <c r="D162" s="142"/>
      <c r="E162" s="142"/>
      <c r="F162" s="142"/>
      <c r="G162" s="105"/>
      <c r="H162" s="142"/>
      <c r="I162" s="142"/>
      <c r="J162" s="105"/>
      <c r="K162" s="105"/>
      <c r="L162" s="105" t="s">
        <v>107</v>
      </c>
      <c r="M162" s="105"/>
      <c r="N162" s="142"/>
      <c r="O162" s="151"/>
      <c r="P162" s="105"/>
      <c r="Q162" s="105"/>
      <c r="R162" s="105"/>
      <c r="S162" s="105"/>
      <c r="T162" s="142"/>
      <c r="U162" s="142"/>
      <c r="V162" s="147"/>
      <c r="W162" s="15"/>
      <c r="X162" s="67"/>
      <c r="Y162" s="49"/>
      <c r="Z162" s="49"/>
      <c r="AA162" s="49"/>
      <c r="AB162" s="49"/>
      <c r="AC162" s="90"/>
    </row>
    <row r="163" spans="1:30" s="45" customFormat="1" ht="71.25" hidden="1" customHeight="1">
      <c r="A163" s="100">
        <v>2</v>
      </c>
      <c r="B163" s="110" t="s">
        <v>138</v>
      </c>
      <c r="C163" s="142"/>
      <c r="D163" s="142"/>
      <c r="E163" s="142"/>
      <c r="F163" s="104"/>
      <c r="G163" s="104"/>
      <c r="H163" s="142"/>
      <c r="I163" s="142"/>
      <c r="J163" s="105" t="s">
        <v>39</v>
      </c>
      <c r="K163" s="105" t="s">
        <v>56</v>
      </c>
      <c r="L163" s="105"/>
      <c r="M163" s="105"/>
      <c r="N163" s="142" t="s">
        <v>58</v>
      </c>
      <c r="O163" s="104"/>
      <c r="P163" s="104"/>
      <c r="Q163" s="105"/>
      <c r="R163" s="104"/>
      <c r="S163" s="105"/>
      <c r="T163" s="142"/>
      <c r="U163" s="104">
        <f>F163</f>
        <v>0</v>
      </c>
      <c r="V163" s="104">
        <f>G163</f>
        <v>0</v>
      </c>
      <c r="W163" s="68"/>
      <c r="X163" s="40">
        <f>V163</f>
        <v>0</v>
      </c>
      <c r="Y163" s="49"/>
      <c r="Z163" s="49"/>
      <c r="AA163" s="49"/>
      <c r="AB163" s="49"/>
      <c r="AC163" s="90"/>
    </row>
    <row r="164" spans="1:30" s="45" customFormat="1" ht="70.5" hidden="1" customHeight="1">
      <c r="A164" s="100">
        <v>3</v>
      </c>
      <c r="B164" s="110" t="s">
        <v>139</v>
      </c>
      <c r="C164" s="142"/>
      <c r="D164" s="142"/>
      <c r="E164" s="142"/>
      <c r="F164" s="104"/>
      <c r="G164" s="104"/>
      <c r="H164" s="142"/>
      <c r="I164" s="142"/>
      <c r="J164" s="105" t="s">
        <v>42</v>
      </c>
      <c r="K164" s="105"/>
      <c r="L164" s="105"/>
      <c r="M164" s="105"/>
      <c r="N164" s="142"/>
      <c r="O164" s="104"/>
      <c r="P164" s="104"/>
      <c r="Q164" s="105"/>
      <c r="R164" s="104"/>
      <c r="S164" s="105"/>
      <c r="T164" s="142"/>
      <c r="U164" s="104">
        <f>F164</f>
        <v>0</v>
      </c>
      <c r="V164" s="104">
        <f>G164</f>
        <v>0</v>
      </c>
      <c r="W164" s="68"/>
      <c r="X164" s="40">
        <f>V164</f>
        <v>0</v>
      </c>
      <c r="Y164" s="49"/>
      <c r="Z164" s="49"/>
      <c r="AA164" s="49"/>
      <c r="AB164" s="49"/>
      <c r="AC164" s="90"/>
    </row>
    <row r="165" spans="1:30" s="45" customFormat="1" ht="30" customHeight="1">
      <c r="A165" s="179" t="s">
        <v>48</v>
      </c>
      <c r="B165" s="179"/>
      <c r="C165" s="142"/>
      <c r="D165" s="142"/>
      <c r="E165" s="142"/>
      <c r="F165" s="142"/>
      <c r="G165" s="105"/>
      <c r="H165" s="142"/>
      <c r="I165" s="142"/>
      <c r="J165" s="105"/>
      <c r="K165" s="105"/>
      <c r="L165" s="105"/>
      <c r="M165" s="105"/>
      <c r="N165" s="142"/>
      <c r="O165" s="151"/>
      <c r="P165" s="105"/>
      <c r="Q165" s="105"/>
      <c r="R165" s="105"/>
      <c r="S165" s="105"/>
      <c r="T165" s="142"/>
      <c r="U165" s="142"/>
      <c r="V165" s="147"/>
      <c r="W165" s="15"/>
      <c r="X165" s="67"/>
      <c r="Y165" s="49"/>
      <c r="Z165" s="49"/>
      <c r="AA165" s="49"/>
      <c r="AB165" s="49"/>
      <c r="AC165" s="90"/>
    </row>
    <row r="166" spans="1:30" s="45" customFormat="1" ht="64.5" customHeight="1">
      <c r="A166" s="100">
        <v>2</v>
      </c>
      <c r="B166" s="110" t="s">
        <v>140</v>
      </c>
      <c r="C166" s="142"/>
      <c r="D166" s="142"/>
      <c r="E166" s="142"/>
      <c r="F166" s="104">
        <v>73.569999999999993</v>
      </c>
      <c r="G166" s="104">
        <f>J166+P166</f>
        <v>124562.68874</v>
      </c>
      <c r="H166" s="142"/>
      <c r="I166" s="142"/>
      <c r="J166" s="104">
        <v>43000</v>
      </c>
      <c r="K166" s="105"/>
      <c r="L166" s="104">
        <f>J166</f>
        <v>43000</v>
      </c>
      <c r="M166" s="105"/>
      <c r="N166" s="142"/>
      <c r="O166" s="104">
        <f>F166</f>
        <v>73.569999999999993</v>
      </c>
      <c r="P166" s="104">
        <v>81562.688739999998</v>
      </c>
      <c r="Q166" s="105"/>
      <c r="R166" s="104">
        <f>P166</f>
        <v>81562.688739999998</v>
      </c>
      <c r="S166" s="105"/>
      <c r="T166" s="142"/>
      <c r="U166" s="142"/>
      <c r="V166" s="147"/>
      <c r="W166" s="15"/>
      <c r="X166" s="67"/>
      <c r="Y166" s="49"/>
      <c r="Z166" s="49"/>
      <c r="AA166" s="49"/>
      <c r="AB166" s="49"/>
      <c r="AC166" s="90"/>
      <c r="AD166" s="47">
        <f>G166-P166</f>
        <v>43000</v>
      </c>
    </row>
    <row r="167" spans="1:30" s="45" customFormat="1" ht="62.25" customHeight="1">
      <c r="A167" s="100">
        <v>3</v>
      </c>
      <c r="B167" s="110" t="s">
        <v>141</v>
      </c>
      <c r="C167" s="142"/>
      <c r="D167" s="142"/>
      <c r="E167" s="142"/>
      <c r="F167" s="104">
        <v>45.4</v>
      </c>
      <c r="G167" s="104">
        <f>19500-2239.9815+0.00764</f>
        <v>17260.026139999998</v>
      </c>
      <c r="H167" s="142"/>
      <c r="I167" s="142"/>
      <c r="J167" s="105"/>
      <c r="K167" s="105"/>
      <c r="L167" s="105"/>
      <c r="M167" s="105"/>
      <c r="N167" s="142"/>
      <c r="O167" s="104">
        <f>F167</f>
        <v>45.4</v>
      </c>
      <c r="P167" s="104">
        <f>G167</f>
        <v>17260.026139999998</v>
      </c>
      <c r="Q167" s="105"/>
      <c r="R167" s="104">
        <f>P167</f>
        <v>17260.026139999998</v>
      </c>
      <c r="S167" s="105"/>
      <c r="T167" s="142"/>
      <c r="U167" s="142"/>
      <c r="V167" s="147"/>
      <c r="W167" s="15"/>
      <c r="X167" s="67"/>
      <c r="Y167" s="49"/>
      <c r="Z167" s="49"/>
      <c r="AA167" s="49"/>
      <c r="AB167" s="49"/>
      <c r="AC167" s="90"/>
    </row>
    <row r="168" spans="1:30" s="45" customFormat="1" ht="32.25" customHeight="1">
      <c r="A168" s="170" t="s">
        <v>52</v>
      </c>
      <c r="B168" s="170"/>
      <c r="C168" s="153"/>
      <c r="D168" s="153"/>
      <c r="E168" s="153"/>
      <c r="F168" s="153"/>
      <c r="G168" s="153"/>
      <c r="H168" s="105"/>
      <c r="I168" s="127"/>
      <c r="J168" s="105"/>
      <c r="K168" s="105"/>
      <c r="L168" s="105"/>
      <c r="M168" s="105"/>
      <c r="N168" s="151"/>
      <c r="O168" s="151"/>
      <c r="P168" s="151"/>
      <c r="Q168" s="151"/>
      <c r="R168" s="151"/>
      <c r="S168" s="151"/>
      <c r="T168" s="151"/>
      <c r="U168" s="151"/>
      <c r="V168" s="154"/>
      <c r="W168" s="32"/>
      <c r="X168" s="48"/>
      <c r="Y168" s="49"/>
      <c r="Z168" s="49"/>
      <c r="AA168" s="49"/>
      <c r="AB168" s="49"/>
      <c r="AC168" s="90"/>
    </row>
    <row r="169" spans="1:30" s="45" customFormat="1" ht="71.25" customHeight="1">
      <c r="A169" s="100">
        <v>4</v>
      </c>
      <c r="B169" s="110" t="s">
        <v>142</v>
      </c>
      <c r="C169" s="101"/>
      <c r="D169" s="153"/>
      <c r="E169" s="153"/>
      <c r="F169" s="104">
        <v>80.3</v>
      </c>
      <c r="G169" s="104">
        <f>33000-3386.74537</f>
        <v>29613.254629999999</v>
      </c>
      <c r="H169" s="105"/>
      <c r="I169" s="104"/>
      <c r="J169" s="104"/>
      <c r="K169" s="104"/>
      <c r="L169" s="104"/>
      <c r="M169" s="104"/>
      <c r="N169" s="151"/>
      <c r="O169" s="104">
        <f>F169</f>
        <v>80.3</v>
      </c>
      <c r="P169" s="104">
        <f>G169</f>
        <v>29613.254629999999</v>
      </c>
      <c r="Q169" s="151"/>
      <c r="R169" s="104">
        <f>P169</f>
        <v>29613.254629999999</v>
      </c>
      <c r="S169" s="151"/>
      <c r="T169" s="151"/>
      <c r="U169" s="151"/>
      <c r="V169" s="154"/>
      <c r="W169" s="32"/>
      <c r="X169" s="48"/>
      <c r="Y169" s="49"/>
      <c r="Z169" s="49"/>
      <c r="AA169" s="49"/>
      <c r="AB169" s="49"/>
      <c r="AC169" s="90"/>
    </row>
    <row r="170" spans="1:30" s="45" customFormat="1" ht="30.75" customHeight="1">
      <c r="A170" s="170" t="s">
        <v>61</v>
      </c>
      <c r="B170" s="170"/>
      <c r="C170" s="101"/>
      <c r="D170" s="153"/>
      <c r="E170" s="153"/>
      <c r="F170" s="104"/>
      <c r="G170" s="104"/>
      <c r="H170" s="105"/>
      <c r="I170" s="104"/>
      <c r="J170" s="104"/>
      <c r="K170" s="104"/>
      <c r="L170" s="104"/>
      <c r="M170" s="104"/>
      <c r="N170" s="151"/>
      <c r="O170" s="104"/>
      <c r="P170" s="104"/>
      <c r="Q170" s="151"/>
      <c r="R170" s="104"/>
      <c r="S170" s="151"/>
      <c r="T170" s="151"/>
      <c r="U170" s="151"/>
      <c r="V170" s="154"/>
      <c r="W170" s="32"/>
      <c r="X170" s="48"/>
      <c r="Y170" s="49"/>
      <c r="Z170" s="49"/>
      <c r="AA170" s="49"/>
      <c r="AB170" s="49"/>
      <c r="AC170" s="90"/>
    </row>
    <row r="171" spans="1:30" s="45" customFormat="1" ht="65.25" customHeight="1">
      <c r="A171" s="100">
        <v>5</v>
      </c>
      <c r="B171" s="110" t="s">
        <v>143</v>
      </c>
      <c r="C171" s="101"/>
      <c r="D171" s="153"/>
      <c r="E171" s="153"/>
      <c r="F171" s="104">
        <v>69.2</v>
      </c>
      <c r="G171" s="104">
        <v>28760.336759999998</v>
      </c>
      <c r="H171" s="105"/>
      <c r="I171" s="104"/>
      <c r="J171" s="104"/>
      <c r="K171" s="104"/>
      <c r="L171" s="104"/>
      <c r="M171" s="104"/>
      <c r="N171" s="151"/>
      <c r="O171" s="104">
        <f>F171</f>
        <v>69.2</v>
      </c>
      <c r="P171" s="104">
        <f>G171</f>
        <v>28760.336759999998</v>
      </c>
      <c r="Q171" s="151"/>
      <c r="R171" s="104">
        <f>P171</f>
        <v>28760.336759999998</v>
      </c>
      <c r="S171" s="151"/>
      <c r="T171" s="151"/>
      <c r="U171" s="151"/>
      <c r="V171" s="154"/>
      <c r="W171" s="32"/>
      <c r="X171" s="48"/>
      <c r="Y171" s="49"/>
      <c r="Z171" s="49"/>
      <c r="AA171" s="49"/>
      <c r="AB171" s="49"/>
      <c r="AC171" s="90"/>
    </row>
    <row r="172" spans="1:30" s="45" customFormat="1" ht="42.75" customHeight="1">
      <c r="A172" s="170" t="s">
        <v>66</v>
      </c>
      <c r="B172" s="170"/>
      <c r="C172" s="153"/>
      <c r="D172" s="153"/>
      <c r="E172" s="153"/>
      <c r="F172" s="153"/>
      <c r="G172" s="105"/>
      <c r="H172" s="105"/>
      <c r="I172" s="127"/>
      <c r="J172" s="105"/>
      <c r="K172" s="105"/>
      <c r="L172" s="105"/>
      <c r="M172" s="105"/>
      <c r="N172" s="151"/>
      <c r="O172" s="151"/>
      <c r="P172" s="151"/>
      <c r="Q172" s="151"/>
      <c r="R172" s="151"/>
      <c r="S172" s="151"/>
      <c r="T172" s="151"/>
      <c r="U172" s="151"/>
      <c r="V172" s="154"/>
      <c r="W172" s="32"/>
      <c r="X172" s="48"/>
      <c r="Y172" s="49"/>
      <c r="Z172" s="49"/>
      <c r="AA172" s="49"/>
      <c r="AB172" s="49"/>
      <c r="AC172" s="90"/>
    </row>
    <row r="173" spans="1:30" s="45" customFormat="1" ht="91.5" customHeight="1">
      <c r="A173" s="100">
        <v>6</v>
      </c>
      <c r="B173" s="110" t="s">
        <v>144</v>
      </c>
      <c r="C173" s="153"/>
      <c r="D173" s="153"/>
      <c r="E173" s="153"/>
      <c r="F173" s="104">
        <v>71.680000000000007</v>
      </c>
      <c r="G173" s="104">
        <f>J173+P173</f>
        <v>222917.87677999999</v>
      </c>
      <c r="H173" s="105"/>
      <c r="I173" s="127"/>
      <c r="J173" s="104">
        <v>21999.971890000001</v>
      </c>
      <c r="K173" s="105" t="s">
        <v>56</v>
      </c>
      <c r="L173" s="104">
        <f>J173</f>
        <v>21999.971890000001</v>
      </c>
      <c r="M173" s="105"/>
      <c r="N173" s="151"/>
      <c r="O173" s="104">
        <f>F173</f>
        <v>71.680000000000007</v>
      </c>
      <c r="P173" s="104">
        <v>200917.90489000001</v>
      </c>
      <c r="Q173" s="151"/>
      <c r="R173" s="104">
        <f>P173</f>
        <v>200917.90489000001</v>
      </c>
      <c r="S173" s="151"/>
      <c r="T173" s="151"/>
      <c r="U173" s="151"/>
      <c r="V173" s="154"/>
      <c r="W173" s="32"/>
      <c r="X173" s="48"/>
      <c r="Y173" s="49"/>
      <c r="Z173" s="49"/>
      <c r="AA173" s="49"/>
      <c r="AB173" s="49"/>
      <c r="AC173" s="90"/>
      <c r="AD173" s="47">
        <f>G173-P173</f>
        <v>21999.971889999986</v>
      </c>
    </row>
    <row r="174" spans="1:30" s="45" customFormat="1" ht="63" hidden="1" customHeight="1">
      <c r="A174" s="121">
        <v>8</v>
      </c>
      <c r="B174" s="110" t="s">
        <v>145</v>
      </c>
      <c r="C174" s="153"/>
      <c r="D174" s="153"/>
      <c r="E174" s="153"/>
      <c r="F174" s="104"/>
      <c r="G174" s="104"/>
      <c r="H174" s="105"/>
      <c r="I174" s="127"/>
      <c r="J174" s="105"/>
      <c r="K174" s="105"/>
      <c r="L174" s="105"/>
      <c r="M174" s="105"/>
      <c r="N174" s="151"/>
      <c r="O174" s="104"/>
      <c r="P174" s="104"/>
      <c r="Q174" s="151"/>
      <c r="R174" s="104"/>
      <c r="S174" s="151"/>
      <c r="T174" s="151"/>
      <c r="U174" s="151"/>
      <c r="V174" s="154"/>
      <c r="W174" s="32"/>
      <c r="X174" s="48"/>
      <c r="Y174" s="49"/>
      <c r="Z174" s="49"/>
      <c r="AA174" s="49"/>
      <c r="AB174" s="49"/>
      <c r="AC174" s="90"/>
    </row>
    <row r="175" spans="1:30" s="45" customFormat="1" ht="36" hidden="1" customHeight="1">
      <c r="A175" s="174" t="s">
        <v>76</v>
      </c>
      <c r="B175" s="174"/>
      <c r="C175" s="153"/>
      <c r="D175" s="153"/>
      <c r="E175" s="153"/>
      <c r="F175" s="151"/>
      <c r="G175" s="151"/>
      <c r="H175" s="105"/>
      <c r="I175" s="127"/>
      <c r="J175" s="105"/>
      <c r="K175" s="105"/>
      <c r="L175" s="105"/>
      <c r="M175" s="105"/>
      <c r="N175" s="151"/>
      <c r="O175" s="151"/>
      <c r="P175" s="151"/>
      <c r="Q175" s="151"/>
      <c r="R175" s="151"/>
      <c r="S175" s="151"/>
      <c r="T175" s="151"/>
      <c r="U175" s="151"/>
      <c r="V175" s="154"/>
      <c r="W175" s="32"/>
      <c r="X175" s="48"/>
      <c r="Y175" s="49"/>
      <c r="Z175" s="49"/>
      <c r="AA175" s="49"/>
      <c r="AB175" s="49"/>
      <c r="AC175" s="90"/>
    </row>
    <row r="176" spans="1:30" s="45" customFormat="1" ht="54.75" hidden="1" customHeight="1">
      <c r="A176" s="121"/>
      <c r="B176" s="110" t="s">
        <v>146</v>
      </c>
      <c r="C176" s="153"/>
      <c r="D176" s="153"/>
      <c r="E176" s="153"/>
      <c r="F176" s="104"/>
      <c r="G176" s="104"/>
      <c r="H176" s="105"/>
      <c r="I176" s="127"/>
      <c r="J176" s="105"/>
      <c r="K176" s="105"/>
      <c r="L176" s="105"/>
      <c r="M176" s="105"/>
      <c r="N176" s="151"/>
      <c r="O176" s="104"/>
      <c r="P176" s="104">
        <f>G176</f>
        <v>0</v>
      </c>
      <c r="Q176" s="151"/>
      <c r="R176" s="104">
        <f>P176</f>
        <v>0</v>
      </c>
      <c r="S176" s="151"/>
      <c r="T176" s="151"/>
      <c r="U176" s="151"/>
      <c r="V176" s="154"/>
      <c r="W176" s="32"/>
      <c r="X176" s="48"/>
      <c r="Y176" s="49"/>
      <c r="Z176" s="49"/>
      <c r="AA176" s="49"/>
      <c r="AB176" s="49"/>
      <c r="AC176" s="90"/>
    </row>
    <row r="177" spans="1:29" s="45" customFormat="1" ht="40.5" customHeight="1">
      <c r="A177" s="175" t="s">
        <v>79</v>
      </c>
      <c r="B177" s="176"/>
      <c r="C177" s="153"/>
      <c r="D177" s="153"/>
      <c r="E177" s="153"/>
      <c r="F177" s="151"/>
      <c r="G177" s="155"/>
      <c r="H177" s="105"/>
      <c r="I177" s="127"/>
      <c r="J177" s="104"/>
      <c r="K177" s="105"/>
      <c r="L177" s="105"/>
      <c r="M177" s="105"/>
      <c r="N177" s="151"/>
      <c r="O177" s="151"/>
      <c r="P177" s="151"/>
      <c r="Q177" s="151"/>
      <c r="R177" s="104"/>
      <c r="S177" s="151"/>
      <c r="T177" s="151"/>
      <c r="U177" s="151"/>
      <c r="V177" s="154"/>
      <c r="W177" s="32"/>
      <c r="X177" s="48"/>
      <c r="Y177" s="49"/>
      <c r="Z177" s="49"/>
      <c r="AA177" s="49"/>
      <c r="AB177" s="49"/>
      <c r="AC177" s="90"/>
    </row>
    <row r="178" spans="1:29" s="45" customFormat="1" ht="64.5" customHeight="1">
      <c r="A178" s="100">
        <v>7</v>
      </c>
      <c r="B178" s="110" t="s">
        <v>147</v>
      </c>
      <c r="C178" s="153"/>
      <c r="D178" s="153"/>
      <c r="E178" s="153"/>
      <c r="F178" s="104">
        <v>51.2</v>
      </c>
      <c r="G178" s="104">
        <f>19500-2110.24684</f>
        <v>17389.75316</v>
      </c>
      <c r="H178" s="105"/>
      <c r="I178" s="127"/>
      <c r="J178" s="105"/>
      <c r="K178" s="105"/>
      <c r="L178" s="105"/>
      <c r="M178" s="105"/>
      <c r="N178" s="151"/>
      <c r="O178" s="104">
        <v>51.2</v>
      </c>
      <c r="P178" s="104">
        <f>G178</f>
        <v>17389.75316</v>
      </c>
      <c r="Q178" s="151"/>
      <c r="R178" s="104">
        <f>P178</f>
        <v>17389.75316</v>
      </c>
      <c r="S178" s="151"/>
      <c r="T178" s="151"/>
      <c r="U178" s="151"/>
      <c r="V178" s="154"/>
      <c r="W178" s="32"/>
      <c r="X178" s="48"/>
      <c r="Y178" s="49"/>
      <c r="Z178" s="49"/>
      <c r="AA178" s="49"/>
      <c r="AB178" s="49"/>
      <c r="AC178" s="90"/>
    </row>
    <row r="179" spans="1:29" s="45" customFormat="1" ht="27" customHeight="1">
      <c r="A179" s="170" t="s">
        <v>87</v>
      </c>
      <c r="B179" s="170"/>
      <c r="C179" s="153"/>
      <c r="D179" s="153"/>
      <c r="E179" s="153"/>
      <c r="F179" s="104"/>
      <c r="G179" s="104"/>
      <c r="H179" s="105"/>
      <c r="I179" s="127"/>
      <c r="J179" s="105"/>
      <c r="K179" s="105"/>
      <c r="L179" s="105"/>
      <c r="M179" s="105"/>
      <c r="N179" s="151"/>
      <c r="O179" s="104"/>
      <c r="P179" s="104"/>
      <c r="Q179" s="151"/>
      <c r="R179" s="104"/>
      <c r="S179" s="151"/>
      <c r="T179" s="151"/>
      <c r="U179" s="151"/>
      <c r="V179" s="154"/>
      <c r="W179" s="32"/>
      <c r="X179" s="48"/>
      <c r="Y179" s="49"/>
      <c r="Z179" s="49"/>
      <c r="AA179" s="49"/>
      <c r="AB179" s="49"/>
      <c r="AC179" s="90"/>
    </row>
    <row r="180" spans="1:29" s="45" customFormat="1" ht="52.5" customHeight="1">
      <c r="A180" s="100">
        <v>8</v>
      </c>
      <c r="B180" s="156" t="s">
        <v>148</v>
      </c>
      <c r="C180" s="153"/>
      <c r="D180" s="153"/>
      <c r="E180" s="153"/>
      <c r="F180" s="104">
        <v>67.7</v>
      </c>
      <c r="G180" s="104">
        <f>28000-1534.64814</f>
        <v>26465.351859999999</v>
      </c>
      <c r="H180" s="105"/>
      <c r="I180" s="104"/>
      <c r="J180" s="104"/>
      <c r="K180" s="104"/>
      <c r="L180" s="104"/>
      <c r="M180" s="105"/>
      <c r="N180" s="151"/>
      <c r="O180" s="104">
        <v>67.7</v>
      </c>
      <c r="P180" s="104">
        <f>G180</f>
        <v>26465.351859999999</v>
      </c>
      <c r="Q180" s="151"/>
      <c r="R180" s="104">
        <f>P180</f>
        <v>26465.351859999999</v>
      </c>
      <c r="S180" s="151"/>
      <c r="T180" s="151"/>
      <c r="U180" s="151"/>
      <c r="V180" s="154"/>
      <c r="W180" s="32"/>
      <c r="X180" s="48"/>
      <c r="Y180" s="49"/>
      <c r="Z180" s="49"/>
      <c r="AA180" s="49"/>
      <c r="AB180" s="49"/>
      <c r="AC180" s="90"/>
    </row>
    <row r="181" spans="1:29" s="45" customFormat="1" ht="36" customHeight="1">
      <c r="A181" s="170" t="s">
        <v>99</v>
      </c>
      <c r="B181" s="170"/>
      <c r="C181" s="153"/>
      <c r="D181" s="157"/>
      <c r="E181" s="157"/>
      <c r="F181" s="104"/>
      <c r="G181" s="104"/>
      <c r="H181" s="105"/>
      <c r="I181" s="127"/>
      <c r="J181" s="105"/>
      <c r="K181" s="105"/>
      <c r="L181" s="105"/>
      <c r="M181" s="105"/>
      <c r="N181" s="151"/>
      <c r="O181" s="134"/>
      <c r="P181" s="104"/>
      <c r="Q181" s="104"/>
      <c r="R181" s="104"/>
      <c r="S181" s="104"/>
      <c r="T181" s="151"/>
      <c r="U181" s="151"/>
      <c r="V181" s="154"/>
      <c r="W181" s="32"/>
      <c r="X181" s="48"/>
      <c r="Y181" s="49"/>
      <c r="Z181" s="49"/>
      <c r="AA181" s="49"/>
      <c r="AB181" s="49"/>
      <c r="AC181" s="90"/>
    </row>
    <row r="182" spans="1:29" s="45" customFormat="1" ht="63" customHeight="1">
      <c r="A182" s="100">
        <v>9</v>
      </c>
      <c r="B182" s="156" t="s">
        <v>149</v>
      </c>
      <c r="C182" s="153"/>
      <c r="D182" s="157"/>
      <c r="E182" s="157"/>
      <c r="F182" s="104">
        <v>216.28</v>
      </c>
      <c r="G182" s="104">
        <v>375000</v>
      </c>
      <c r="H182" s="105"/>
      <c r="I182" s="127"/>
      <c r="J182" s="105"/>
      <c r="K182" s="105"/>
      <c r="L182" s="105"/>
      <c r="M182" s="105"/>
      <c r="N182" s="151"/>
      <c r="O182" s="104">
        <v>216.28</v>
      </c>
      <c r="P182" s="104">
        <v>375000</v>
      </c>
      <c r="Q182" s="104"/>
      <c r="R182" s="104">
        <f>352500-249500+249500</f>
        <v>352500</v>
      </c>
      <c r="S182" s="104">
        <f>P182-R182</f>
        <v>22500</v>
      </c>
      <c r="T182" s="151"/>
      <c r="U182" s="151"/>
      <c r="V182" s="154"/>
      <c r="W182" s="32"/>
      <c r="X182" s="48"/>
      <c r="Y182" s="49"/>
      <c r="Z182" s="49"/>
      <c r="AA182" s="49"/>
      <c r="AB182" s="49"/>
      <c r="AC182" s="90"/>
    </row>
    <row r="183" spans="1:29" s="45" customFormat="1" ht="30.75" customHeight="1">
      <c r="A183" s="170" t="s">
        <v>150</v>
      </c>
      <c r="B183" s="170"/>
      <c r="C183" s="153"/>
      <c r="D183" s="157"/>
      <c r="E183" s="157"/>
      <c r="F183" s="134"/>
      <c r="G183" s="104"/>
      <c r="H183" s="105"/>
      <c r="I183" s="127"/>
      <c r="J183" s="105"/>
      <c r="K183" s="105"/>
      <c r="L183" s="105"/>
      <c r="M183" s="105"/>
      <c r="N183" s="151"/>
      <c r="O183" s="134"/>
      <c r="P183" s="104"/>
      <c r="Q183" s="104"/>
      <c r="R183" s="104"/>
      <c r="S183" s="104"/>
      <c r="T183" s="151"/>
      <c r="U183" s="151"/>
      <c r="V183" s="154"/>
      <c r="W183" s="32"/>
      <c r="X183" s="48"/>
      <c r="Y183" s="49"/>
      <c r="Z183" s="49"/>
      <c r="AA183" s="49"/>
      <c r="AB183" s="49"/>
      <c r="AC183" s="90"/>
    </row>
    <row r="184" spans="1:29" s="45" customFormat="1" ht="63" customHeight="1" thickBot="1">
      <c r="A184" s="51">
        <v>10</v>
      </c>
      <c r="B184" s="92" t="s">
        <v>151</v>
      </c>
      <c r="C184" s="93"/>
      <c r="D184" s="94"/>
      <c r="E184" s="94"/>
      <c r="F184" s="52">
        <v>39.700000000000003</v>
      </c>
      <c r="G184" s="52">
        <v>10933.883819999999</v>
      </c>
      <c r="H184" s="95"/>
      <c r="I184" s="96"/>
      <c r="J184" s="95"/>
      <c r="K184" s="95"/>
      <c r="L184" s="95"/>
      <c r="M184" s="95"/>
      <c r="N184" s="97"/>
      <c r="O184" s="52">
        <v>39.700000000000003</v>
      </c>
      <c r="P184" s="52">
        <f>G184</f>
        <v>10933.883819999999</v>
      </c>
      <c r="Q184" s="52"/>
      <c r="R184" s="52">
        <f>P184</f>
        <v>10933.883819999999</v>
      </c>
      <c r="S184" s="52"/>
      <c r="T184" s="97"/>
      <c r="U184" s="97"/>
      <c r="V184" s="98"/>
      <c r="W184" s="97"/>
      <c r="X184" s="98"/>
      <c r="Y184" s="94"/>
      <c r="Z184" s="94"/>
      <c r="AA184" s="94"/>
      <c r="AB184" s="94"/>
      <c r="AC184" s="99"/>
    </row>
    <row r="185" spans="1:29" s="50" customFormat="1" ht="29.25" hidden="1" customHeight="1">
      <c r="A185" s="173"/>
      <c r="B185" s="173"/>
      <c r="C185" s="173"/>
      <c r="D185" s="53"/>
      <c r="E185" s="54"/>
      <c r="F185" s="55"/>
      <c r="G185" s="56"/>
      <c r="H185" s="54"/>
      <c r="I185" s="55"/>
      <c r="J185" s="56"/>
      <c r="K185" s="56"/>
      <c r="L185" s="56"/>
      <c r="M185" s="56"/>
      <c r="N185" s="53"/>
      <c r="O185" s="53"/>
      <c r="P185" s="53"/>
      <c r="Q185" s="53"/>
      <c r="R185" s="53"/>
      <c r="S185" s="53"/>
      <c r="T185" s="53"/>
      <c r="U185" s="53"/>
      <c r="V185" s="57"/>
      <c r="W185" s="58"/>
      <c r="X185" s="58"/>
    </row>
    <row r="186" spans="1:29" s="50" customFormat="1">
      <c r="A186" s="59"/>
    </row>
    <row r="187" spans="1:29" s="50" customFormat="1">
      <c r="A187" s="59"/>
    </row>
    <row r="188" spans="1:29" s="50" customFormat="1">
      <c r="A188" s="59"/>
    </row>
    <row r="189" spans="1:29" s="50" customFormat="1">
      <c r="A189" s="59"/>
    </row>
    <row r="190" spans="1:29" s="50" customFormat="1">
      <c r="A190" s="59"/>
    </row>
    <row r="191" spans="1:29" s="50" customFormat="1">
      <c r="A191" s="59"/>
    </row>
    <row r="192" spans="1:29" s="50" customFormat="1">
      <c r="A192" s="59"/>
    </row>
    <row r="193" spans="1:1" s="50" customFormat="1">
      <c r="A193" s="59"/>
    </row>
    <row r="194" spans="1:1" s="50" customFormat="1">
      <c r="A194" s="59"/>
    </row>
    <row r="195" spans="1:1" s="50" customFormat="1">
      <c r="A195" s="59"/>
    </row>
    <row r="196" spans="1:1" s="50" customFormat="1">
      <c r="A196" s="59"/>
    </row>
    <row r="197" spans="1:1" s="50" customFormat="1">
      <c r="A197" s="59"/>
    </row>
    <row r="198" spans="1:1" s="50" customFormat="1">
      <c r="A198" s="59"/>
    </row>
    <row r="199" spans="1:1" s="50" customFormat="1">
      <c r="A199" s="59"/>
    </row>
    <row r="200" spans="1:1" s="50" customFormat="1">
      <c r="A200" s="59"/>
    </row>
    <row r="201" spans="1:1" s="50" customFormat="1">
      <c r="A201" s="59"/>
    </row>
    <row r="202" spans="1:1" s="50" customFormat="1">
      <c r="A202" s="59"/>
    </row>
    <row r="203" spans="1:1" s="50" customFormat="1">
      <c r="A203" s="59"/>
    </row>
    <row r="204" spans="1:1" s="50" customFormat="1">
      <c r="A204" s="59"/>
    </row>
    <row r="205" spans="1:1" s="50" customFormat="1">
      <c r="A205" s="59"/>
    </row>
    <row r="206" spans="1:1" s="50" customFormat="1">
      <c r="A206" s="59"/>
    </row>
    <row r="207" spans="1:1" s="50" customFormat="1">
      <c r="A207" s="59"/>
    </row>
    <row r="208" spans="1:1" s="50" customFormat="1">
      <c r="A208" s="59"/>
    </row>
    <row r="209" spans="1:1" s="50" customFormat="1">
      <c r="A209" s="59"/>
    </row>
    <row r="210" spans="1:1" s="50" customFormat="1">
      <c r="A210" s="59"/>
    </row>
    <row r="211" spans="1:1" s="50" customFormat="1">
      <c r="A211" s="59"/>
    </row>
    <row r="212" spans="1:1" s="50" customFormat="1">
      <c r="A212" s="59"/>
    </row>
    <row r="213" spans="1:1" s="50" customFormat="1">
      <c r="A213" s="59"/>
    </row>
    <row r="214" spans="1:1" s="50" customFormat="1">
      <c r="A214" s="59"/>
    </row>
    <row r="215" spans="1:1" s="50" customFormat="1">
      <c r="A215" s="59"/>
    </row>
    <row r="216" spans="1:1" s="50" customFormat="1">
      <c r="A216" s="59"/>
    </row>
    <row r="217" spans="1:1" s="50" customFormat="1">
      <c r="A217" s="59"/>
    </row>
    <row r="218" spans="1:1" s="50" customFormat="1">
      <c r="A218" s="59"/>
    </row>
    <row r="219" spans="1:1" s="50" customFormat="1">
      <c r="A219" s="59"/>
    </row>
    <row r="220" spans="1:1" s="50" customFormat="1">
      <c r="A220" s="59"/>
    </row>
    <row r="221" spans="1:1" s="50" customFormat="1">
      <c r="A221" s="59"/>
    </row>
    <row r="222" spans="1:1" s="50" customFormat="1">
      <c r="A222" s="59"/>
    </row>
    <row r="223" spans="1:1" s="50" customFormat="1">
      <c r="A223" s="59"/>
    </row>
    <row r="224" spans="1:1" s="50" customFormat="1">
      <c r="A224" s="59"/>
    </row>
    <row r="225" spans="1:1" s="50" customFormat="1">
      <c r="A225" s="59"/>
    </row>
    <row r="226" spans="1:1" s="50" customFormat="1">
      <c r="A226" s="59"/>
    </row>
    <row r="227" spans="1:1" s="50" customFormat="1">
      <c r="A227" s="59"/>
    </row>
    <row r="228" spans="1:1" s="50" customFormat="1">
      <c r="A228" s="59"/>
    </row>
    <row r="229" spans="1:1" s="50" customFormat="1">
      <c r="A229" s="59"/>
    </row>
    <row r="230" spans="1:1" s="50" customFormat="1">
      <c r="A230" s="59"/>
    </row>
    <row r="231" spans="1:1" s="50" customFormat="1">
      <c r="A231" s="59"/>
    </row>
    <row r="232" spans="1:1" s="50" customFormat="1">
      <c r="A232" s="59"/>
    </row>
    <row r="233" spans="1:1" s="50" customFormat="1">
      <c r="A233" s="59"/>
    </row>
    <row r="234" spans="1:1" s="50" customFormat="1">
      <c r="A234" s="59"/>
    </row>
    <row r="235" spans="1:1" s="50" customFormat="1">
      <c r="A235" s="59"/>
    </row>
    <row r="236" spans="1:1" s="50" customFormat="1">
      <c r="A236" s="59"/>
    </row>
    <row r="237" spans="1:1" s="50" customFormat="1">
      <c r="A237" s="59"/>
    </row>
    <row r="238" spans="1:1" s="50" customFormat="1">
      <c r="A238" s="59"/>
    </row>
    <row r="239" spans="1:1" s="50" customFormat="1">
      <c r="A239" s="59"/>
    </row>
    <row r="240" spans="1:1" s="50" customFormat="1">
      <c r="A240" s="59"/>
    </row>
    <row r="241" spans="1:1" s="50" customFormat="1">
      <c r="A241" s="59"/>
    </row>
    <row r="242" spans="1:1" s="50" customFormat="1">
      <c r="A242" s="59"/>
    </row>
    <row r="243" spans="1:1" s="50" customFormat="1">
      <c r="A243" s="59"/>
    </row>
    <row r="244" spans="1:1" s="50" customFormat="1">
      <c r="A244" s="59"/>
    </row>
    <row r="245" spans="1:1" s="50" customFormat="1">
      <c r="A245" s="59"/>
    </row>
    <row r="246" spans="1:1" s="50" customFormat="1">
      <c r="A246" s="59"/>
    </row>
    <row r="247" spans="1:1" s="50" customFormat="1">
      <c r="A247" s="59"/>
    </row>
    <row r="248" spans="1:1" s="50" customFormat="1">
      <c r="A248" s="59"/>
    </row>
    <row r="249" spans="1:1" s="50" customFormat="1">
      <c r="A249" s="59"/>
    </row>
    <row r="250" spans="1:1" s="50" customFormat="1">
      <c r="A250" s="59"/>
    </row>
    <row r="251" spans="1:1" s="50" customFormat="1">
      <c r="A251" s="59"/>
    </row>
    <row r="252" spans="1:1" s="50" customFormat="1">
      <c r="A252" s="59"/>
    </row>
    <row r="253" spans="1:1" s="50" customFormat="1">
      <c r="A253" s="59"/>
    </row>
    <row r="254" spans="1:1" s="50" customFormat="1">
      <c r="A254" s="59"/>
    </row>
    <row r="255" spans="1:1" s="50" customFormat="1">
      <c r="A255" s="59"/>
    </row>
    <row r="256" spans="1:1" s="50" customFormat="1">
      <c r="A256" s="59"/>
    </row>
    <row r="257" spans="1:1" s="50" customFormat="1">
      <c r="A257" s="59"/>
    </row>
    <row r="258" spans="1:1" s="50" customFormat="1">
      <c r="A258" s="59"/>
    </row>
    <row r="259" spans="1:1" s="50" customFormat="1">
      <c r="A259" s="59"/>
    </row>
    <row r="260" spans="1:1" s="50" customFormat="1">
      <c r="A260" s="59"/>
    </row>
    <row r="261" spans="1:1" s="50" customFormat="1">
      <c r="A261" s="59"/>
    </row>
    <row r="262" spans="1:1" s="50" customFormat="1">
      <c r="A262" s="59"/>
    </row>
    <row r="263" spans="1:1" s="50" customFormat="1">
      <c r="A263" s="59"/>
    </row>
    <row r="264" spans="1:1" s="50" customFormat="1">
      <c r="A264" s="59"/>
    </row>
    <row r="265" spans="1:1" s="50" customFormat="1">
      <c r="A265" s="59"/>
    </row>
    <row r="266" spans="1:1" s="50" customFormat="1">
      <c r="A266" s="59"/>
    </row>
    <row r="267" spans="1:1" s="50" customFormat="1">
      <c r="A267" s="59"/>
    </row>
    <row r="268" spans="1:1" s="50" customFormat="1">
      <c r="A268" s="59"/>
    </row>
    <row r="269" spans="1:1" s="50" customFormat="1">
      <c r="A269" s="59"/>
    </row>
    <row r="270" spans="1:1" s="50" customFormat="1">
      <c r="A270" s="59"/>
    </row>
    <row r="271" spans="1:1" s="50" customFormat="1">
      <c r="A271" s="59"/>
    </row>
    <row r="272" spans="1:1" s="50" customFormat="1">
      <c r="A272" s="59"/>
    </row>
    <row r="273" spans="1:1" s="50" customFormat="1">
      <c r="A273" s="59"/>
    </row>
    <row r="274" spans="1:1" s="50" customFormat="1">
      <c r="A274" s="59"/>
    </row>
    <row r="275" spans="1:1" s="50" customFormat="1">
      <c r="A275" s="59"/>
    </row>
    <row r="276" spans="1:1" s="50" customFormat="1">
      <c r="A276" s="59"/>
    </row>
    <row r="277" spans="1:1" s="50" customFormat="1">
      <c r="A277" s="59"/>
    </row>
    <row r="278" spans="1:1" s="50" customFormat="1">
      <c r="A278" s="59"/>
    </row>
    <row r="279" spans="1:1" s="50" customFormat="1">
      <c r="A279" s="59"/>
    </row>
    <row r="280" spans="1:1" s="50" customFormat="1">
      <c r="A280" s="59"/>
    </row>
    <row r="281" spans="1:1" s="50" customFormat="1">
      <c r="A281" s="59"/>
    </row>
    <row r="282" spans="1:1" s="50" customFormat="1">
      <c r="A282" s="59"/>
    </row>
    <row r="283" spans="1:1" s="50" customFormat="1">
      <c r="A283" s="59"/>
    </row>
    <row r="284" spans="1:1" s="50" customFormat="1">
      <c r="A284" s="59"/>
    </row>
    <row r="285" spans="1:1" s="50" customFormat="1">
      <c r="A285" s="59"/>
    </row>
    <row r="286" spans="1:1" s="50" customFormat="1">
      <c r="A286" s="59"/>
    </row>
    <row r="287" spans="1:1" s="50" customFormat="1">
      <c r="A287" s="59"/>
    </row>
    <row r="288" spans="1:1" s="50" customFormat="1">
      <c r="A288" s="59"/>
    </row>
    <row r="289" spans="1:1" s="50" customFormat="1">
      <c r="A289" s="59"/>
    </row>
    <row r="290" spans="1:1" s="50" customFormat="1">
      <c r="A290" s="59"/>
    </row>
    <row r="291" spans="1:1" s="50" customFormat="1">
      <c r="A291" s="59"/>
    </row>
    <row r="292" spans="1:1" s="50" customFormat="1">
      <c r="A292" s="59"/>
    </row>
    <row r="293" spans="1:1" s="50" customFormat="1">
      <c r="A293" s="59"/>
    </row>
    <row r="294" spans="1:1" s="50" customFormat="1">
      <c r="A294" s="59"/>
    </row>
    <row r="295" spans="1:1" s="50" customFormat="1">
      <c r="A295" s="59"/>
    </row>
    <row r="296" spans="1:1" s="50" customFormat="1">
      <c r="A296" s="59"/>
    </row>
    <row r="297" spans="1:1" s="50" customFormat="1">
      <c r="A297" s="59"/>
    </row>
    <row r="298" spans="1:1" s="50" customFormat="1">
      <c r="A298" s="59"/>
    </row>
    <row r="299" spans="1:1" s="50" customFormat="1">
      <c r="A299" s="59"/>
    </row>
    <row r="300" spans="1:1" s="50" customFormat="1">
      <c r="A300" s="59"/>
    </row>
    <row r="301" spans="1:1" s="50" customFormat="1">
      <c r="A301" s="59"/>
    </row>
    <row r="302" spans="1:1" s="50" customFormat="1">
      <c r="A302" s="59"/>
    </row>
    <row r="303" spans="1:1" s="50" customFormat="1">
      <c r="A303" s="59"/>
    </row>
    <row r="304" spans="1:1" s="50" customFormat="1">
      <c r="A304" s="59"/>
    </row>
    <row r="305" spans="1:1" s="50" customFormat="1">
      <c r="A305" s="59"/>
    </row>
    <row r="306" spans="1:1" s="50" customFormat="1">
      <c r="A306" s="59"/>
    </row>
    <row r="307" spans="1:1" s="50" customFormat="1">
      <c r="A307" s="59"/>
    </row>
    <row r="308" spans="1:1" s="50" customFormat="1">
      <c r="A308" s="59"/>
    </row>
    <row r="309" spans="1:1" s="50" customFormat="1">
      <c r="A309" s="59"/>
    </row>
    <row r="310" spans="1:1" s="50" customFormat="1">
      <c r="A310" s="59"/>
    </row>
    <row r="311" spans="1:1" s="50" customFormat="1">
      <c r="A311" s="59"/>
    </row>
    <row r="312" spans="1:1" s="50" customFormat="1">
      <c r="A312" s="59"/>
    </row>
    <row r="313" spans="1:1" s="50" customFormat="1">
      <c r="A313" s="59"/>
    </row>
    <row r="314" spans="1:1" s="50" customFormat="1">
      <c r="A314" s="59"/>
    </row>
    <row r="315" spans="1:1" s="50" customFormat="1">
      <c r="A315" s="59"/>
    </row>
    <row r="316" spans="1:1" s="50" customFormat="1">
      <c r="A316" s="59"/>
    </row>
    <row r="317" spans="1:1" s="50" customFormat="1">
      <c r="A317" s="59"/>
    </row>
    <row r="318" spans="1:1" s="50" customFormat="1">
      <c r="A318" s="59"/>
    </row>
    <row r="319" spans="1:1" s="50" customFormat="1">
      <c r="A319" s="59"/>
    </row>
    <row r="320" spans="1:1" s="50" customFormat="1">
      <c r="A320" s="59"/>
    </row>
    <row r="321" spans="1:1" s="50" customFormat="1">
      <c r="A321" s="59"/>
    </row>
    <row r="322" spans="1:1" s="50" customFormat="1">
      <c r="A322" s="59"/>
    </row>
    <row r="323" spans="1:1" s="50" customFormat="1">
      <c r="A323" s="59"/>
    </row>
    <row r="324" spans="1:1" s="50" customFormat="1">
      <c r="A324" s="59"/>
    </row>
    <row r="325" spans="1:1" s="50" customFormat="1">
      <c r="A325" s="59"/>
    </row>
    <row r="326" spans="1:1" s="50" customFormat="1">
      <c r="A326" s="59"/>
    </row>
    <row r="327" spans="1:1" s="50" customFormat="1">
      <c r="A327" s="59"/>
    </row>
    <row r="328" spans="1:1" s="50" customFormat="1">
      <c r="A328" s="59"/>
    </row>
    <row r="329" spans="1:1" s="50" customFormat="1">
      <c r="A329" s="59"/>
    </row>
    <row r="330" spans="1:1" s="50" customFormat="1">
      <c r="A330" s="59"/>
    </row>
    <row r="331" spans="1:1" s="50" customFormat="1">
      <c r="A331" s="59"/>
    </row>
    <row r="332" spans="1:1" s="50" customFormat="1">
      <c r="A332" s="59"/>
    </row>
    <row r="333" spans="1:1" s="50" customFormat="1">
      <c r="A333" s="59"/>
    </row>
    <row r="334" spans="1:1" s="50" customFormat="1">
      <c r="A334" s="59"/>
    </row>
    <row r="335" spans="1:1" s="50" customFormat="1">
      <c r="A335" s="59"/>
    </row>
    <row r="336" spans="1:1" s="50" customFormat="1">
      <c r="A336" s="59"/>
    </row>
    <row r="337" spans="1:1" s="50" customFormat="1">
      <c r="A337" s="59"/>
    </row>
    <row r="338" spans="1:1" s="50" customFormat="1">
      <c r="A338" s="59"/>
    </row>
    <row r="339" spans="1:1" s="50" customFormat="1">
      <c r="A339" s="59"/>
    </row>
    <row r="340" spans="1:1" s="50" customFormat="1">
      <c r="A340" s="59"/>
    </row>
    <row r="341" spans="1:1" s="50" customFormat="1">
      <c r="A341" s="59"/>
    </row>
    <row r="342" spans="1:1" s="50" customFormat="1">
      <c r="A342" s="59"/>
    </row>
    <row r="343" spans="1:1" s="50" customFormat="1">
      <c r="A343" s="59"/>
    </row>
    <row r="344" spans="1:1" s="50" customFormat="1">
      <c r="A344" s="59"/>
    </row>
    <row r="345" spans="1:1" s="50" customFormat="1">
      <c r="A345" s="59"/>
    </row>
    <row r="346" spans="1:1" s="50" customFormat="1">
      <c r="A346" s="59"/>
    </row>
    <row r="347" spans="1:1" s="50" customFormat="1">
      <c r="A347" s="59"/>
    </row>
    <row r="348" spans="1:1" s="50" customFormat="1">
      <c r="A348" s="59"/>
    </row>
    <row r="349" spans="1:1" s="50" customFormat="1">
      <c r="A349" s="59"/>
    </row>
    <row r="350" spans="1:1" s="50" customFormat="1">
      <c r="A350" s="59"/>
    </row>
    <row r="351" spans="1:1" s="50" customFormat="1">
      <c r="A351" s="59"/>
    </row>
    <row r="352" spans="1:1" s="50" customFormat="1">
      <c r="A352" s="59"/>
    </row>
    <row r="353" spans="1:1" s="50" customFormat="1">
      <c r="A353" s="59"/>
    </row>
    <row r="354" spans="1:1" s="50" customFormat="1">
      <c r="A354" s="59"/>
    </row>
    <row r="355" spans="1:1" s="50" customFormat="1">
      <c r="A355" s="59"/>
    </row>
    <row r="356" spans="1:1" s="50" customFormat="1">
      <c r="A356" s="59"/>
    </row>
    <row r="357" spans="1:1" s="50" customFormat="1">
      <c r="A357" s="59"/>
    </row>
    <row r="358" spans="1:1" s="50" customFormat="1">
      <c r="A358" s="59"/>
    </row>
    <row r="359" spans="1:1" s="50" customFormat="1">
      <c r="A359" s="59"/>
    </row>
    <row r="360" spans="1:1" s="50" customFormat="1">
      <c r="A360" s="59"/>
    </row>
    <row r="361" spans="1:1" s="50" customFormat="1">
      <c r="A361" s="59"/>
    </row>
    <row r="362" spans="1:1" s="50" customFormat="1">
      <c r="A362" s="59"/>
    </row>
    <row r="363" spans="1:1" s="50" customFormat="1">
      <c r="A363" s="59"/>
    </row>
    <row r="364" spans="1:1" s="50" customFormat="1">
      <c r="A364" s="59"/>
    </row>
    <row r="365" spans="1:1" s="50" customFormat="1">
      <c r="A365" s="59"/>
    </row>
    <row r="366" spans="1:1" s="50" customFormat="1">
      <c r="A366" s="59"/>
    </row>
    <row r="367" spans="1:1" s="50" customFormat="1">
      <c r="A367" s="59"/>
    </row>
    <row r="368" spans="1:1" s="50" customFormat="1">
      <c r="A368" s="59"/>
    </row>
    <row r="369" spans="1:1" s="50" customFormat="1">
      <c r="A369" s="59"/>
    </row>
    <row r="370" spans="1:1" s="50" customFormat="1">
      <c r="A370" s="59"/>
    </row>
    <row r="371" spans="1:1" s="50" customFormat="1">
      <c r="A371" s="59"/>
    </row>
    <row r="372" spans="1:1" s="50" customFormat="1">
      <c r="A372" s="59"/>
    </row>
    <row r="373" spans="1:1" s="50" customFormat="1">
      <c r="A373" s="59"/>
    </row>
    <row r="374" spans="1:1" s="50" customFormat="1">
      <c r="A374" s="59"/>
    </row>
    <row r="375" spans="1:1" s="50" customFormat="1">
      <c r="A375" s="59"/>
    </row>
    <row r="376" spans="1:1" s="50" customFormat="1">
      <c r="A376" s="59"/>
    </row>
    <row r="377" spans="1:1" s="50" customFormat="1">
      <c r="A377" s="59"/>
    </row>
    <row r="378" spans="1:1" s="50" customFormat="1">
      <c r="A378" s="59"/>
    </row>
    <row r="379" spans="1:1" s="50" customFormat="1">
      <c r="A379" s="59"/>
    </row>
    <row r="380" spans="1:1" s="50" customFormat="1">
      <c r="A380" s="59"/>
    </row>
    <row r="381" spans="1:1" s="50" customFormat="1">
      <c r="A381" s="59"/>
    </row>
    <row r="382" spans="1:1" s="50" customFormat="1">
      <c r="A382" s="59"/>
    </row>
    <row r="383" spans="1:1" s="50" customFormat="1">
      <c r="A383" s="59"/>
    </row>
    <row r="384" spans="1:1" s="50" customFormat="1">
      <c r="A384" s="59"/>
    </row>
    <row r="385" spans="1:1" s="50" customFormat="1">
      <c r="A385" s="59"/>
    </row>
    <row r="386" spans="1:1" s="50" customFormat="1">
      <c r="A386" s="59"/>
    </row>
    <row r="387" spans="1:1" s="50" customFormat="1">
      <c r="A387" s="59"/>
    </row>
    <row r="388" spans="1:1" s="50" customFormat="1">
      <c r="A388" s="59"/>
    </row>
    <row r="389" spans="1:1" s="50" customFormat="1">
      <c r="A389" s="59"/>
    </row>
    <row r="390" spans="1:1" s="50" customFormat="1">
      <c r="A390" s="59"/>
    </row>
    <row r="391" spans="1:1" s="50" customFormat="1">
      <c r="A391" s="59"/>
    </row>
    <row r="392" spans="1:1" s="50" customFormat="1">
      <c r="A392" s="59"/>
    </row>
    <row r="393" spans="1:1" s="50" customFormat="1">
      <c r="A393" s="59"/>
    </row>
    <row r="394" spans="1:1" s="50" customFormat="1">
      <c r="A394" s="59"/>
    </row>
    <row r="395" spans="1:1" s="50" customFormat="1">
      <c r="A395" s="59"/>
    </row>
    <row r="396" spans="1:1" s="50" customFormat="1">
      <c r="A396" s="59"/>
    </row>
    <row r="397" spans="1:1" s="50" customFormat="1">
      <c r="A397" s="59"/>
    </row>
    <row r="398" spans="1:1" s="50" customFormat="1">
      <c r="A398" s="59"/>
    </row>
    <row r="399" spans="1:1" s="50" customFormat="1">
      <c r="A399" s="59"/>
    </row>
    <row r="400" spans="1:1" s="50" customFormat="1">
      <c r="A400" s="59"/>
    </row>
    <row r="401" spans="1:1" s="50" customFormat="1">
      <c r="A401" s="59"/>
    </row>
    <row r="402" spans="1:1" s="50" customFormat="1">
      <c r="A402" s="59"/>
    </row>
    <row r="403" spans="1:1" s="50" customFormat="1">
      <c r="A403" s="59"/>
    </row>
    <row r="404" spans="1:1" s="50" customFormat="1">
      <c r="A404" s="59"/>
    </row>
    <row r="405" spans="1:1" s="50" customFormat="1">
      <c r="A405" s="59"/>
    </row>
    <row r="406" spans="1:1" s="50" customFormat="1">
      <c r="A406" s="59"/>
    </row>
    <row r="407" spans="1:1" s="50" customFormat="1">
      <c r="A407" s="59"/>
    </row>
    <row r="408" spans="1:1" s="50" customFormat="1">
      <c r="A408" s="59"/>
    </row>
    <row r="409" spans="1:1" s="50" customFormat="1">
      <c r="A409" s="59"/>
    </row>
    <row r="410" spans="1:1" s="50" customFormat="1">
      <c r="A410" s="59"/>
    </row>
    <row r="411" spans="1:1" s="50" customFormat="1">
      <c r="A411" s="59"/>
    </row>
    <row r="412" spans="1:1" s="50" customFormat="1">
      <c r="A412" s="59"/>
    </row>
    <row r="413" spans="1:1" s="50" customFormat="1">
      <c r="A413" s="59"/>
    </row>
    <row r="414" spans="1:1" s="50" customFormat="1">
      <c r="A414" s="59"/>
    </row>
    <row r="415" spans="1:1" s="50" customFormat="1">
      <c r="A415" s="59"/>
    </row>
    <row r="416" spans="1:1" s="50" customFormat="1">
      <c r="A416" s="59"/>
    </row>
  </sheetData>
  <mergeCells count="103">
    <mergeCell ref="H6:M6"/>
    <mergeCell ref="N6:S6"/>
    <mergeCell ref="T6:X6"/>
    <mergeCell ref="W7:X7"/>
    <mergeCell ref="A15:B15"/>
    <mergeCell ref="A17:B17"/>
    <mergeCell ref="A24:B24"/>
    <mergeCell ref="A26:C26"/>
    <mergeCell ref="P7:P8"/>
    <mergeCell ref="Q7:S7"/>
    <mergeCell ref="T7:U7"/>
    <mergeCell ref="V7:V8"/>
    <mergeCell ref="A10:V10"/>
    <mergeCell ref="H7:I7"/>
    <mergeCell ref="J7:J8"/>
    <mergeCell ref="K7:M7"/>
    <mergeCell ref="N7:O7"/>
    <mergeCell ref="E7:F7"/>
    <mergeCell ref="G7:G8"/>
    <mergeCell ref="B12:C12"/>
    <mergeCell ref="B19:C19"/>
    <mergeCell ref="B11:V11"/>
    <mergeCell ref="A13:B13"/>
    <mergeCell ref="A5:A8"/>
    <mergeCell ref="B5:B8"/>
    <mergeCell ref="C5:C8"/>
    <mergeCell ref="D5:D8"/>
    <mergeCell ref="E5:G6"/>
    <mergeCell ref="A47:B47"/>
    <mergeCell ref="C47:E47"/>
    <mergeCell ref="A54:C54"/>
    <mergeCell ref="A55:B55"/>
    <mergeCell ref="C55:E55"/>
    <mergeCell ref="A58:B58"/>
    <mergeCell ref="A27:B27"/>
    <mergeCell ref="C27:E27"/>
    <mergeCell ref="A39:B39"/>
    <mergeCell ref="A40:B40"/>
    <mergeCell ref="C40:E40"/>
    <mergeCell ref="A46:B46"/>
    <mergeCell ref="A73:B73"/>
    <mergeCell ref="C73:E73"/>
    <mergeCell ref="A78:B78"/>
    <mergeCell ref="C78:E78"/>
    <mergeCell ref="A82:B82"/>
    <mergeCell ref="A59:B59"/>
    <mergeCell ref="C59:E59"/>
    <mergeCell ref="A68:B68"/>
    <mergeCell ref="A69:B69"/>
    <mergeCell ref="C69:E69"/>
    <mergeCell ref="A72:C72"/>
    <mergeCell ref="A77:C77"/>
    <mergeCell ref="C110:E110"/>
    <mergeCell ref="A114:B114"/>
    <mergeCell ref="A115:B115"/>
    <mergeCell ref="A96:B96"/>
    <mergeCell ref="C96:E96"/>
    <mergeCell ref="A99:B99"/>
    <mergeCell ref="A100:B100"/>
    <mergeCell ref="A105:C105"/>
    <mergeCell ref="A83:B83"/>
    <mergeCell ref="C83:E83"/>
    <mergeCell ref="A89:B89"/>
    <mergeCell ref="A90:B90"/>
    <mergeCell ref="C90:E90"/>
    <mergeCell ref="A95:B95"/>
    <mergeCell ref="A185:C185"/>
    <mergeCell ref="A170:B170"/>
    <mergeCell ref="A172:B172"/>
    <mergeCell ref="A175:B175"/>
    <mergeCell ref="A177:B177"/>
    <mergeCell ref="A179:B179"/>
    <mergeCell ref="A181:B181"/>
    <mergeCell ref="A147:C147"/>
    <mergeCell ref="B149:V149"/>
    <mergeCell ref="A159:B159"/>
    <mergeCell ref="A162:B162"/>
    <mergeCell ref="A165:B165"/>
    <mergeCell ref="A168:B168"/>
    <mergeCell ref="W1:AC1"/>
    <mergeCell ref="Y6:AC6"/>
    <mergeCell ref="Y7:Z7"/>
    <mergeCell ref="AA7:AA8"/>
    <mergeCell ref="AB7:AC7"/>
    <mergeCell ref="H5:M5"/>
    <mergeCell ref="N5:AC5"/>
    <mergeCell ref="A3:AC3"/>
    <mergeCell ref="A183:B183"/>
    <mergeCell ref="A135:B135"/>
    <mergeCell ref="C135:E135"/>
    <mergeCell ref="A139:C139"/>
    <mergeCell ref="A140:B140"/>
    <mergeCell ref="C140:E140"/>
    <mergeCell ref="A144:C144"/>
    <mergeCell ref="A120:B120"/>
    <mergeCell ref="A121:B121"/>
    <mergeCell ref="C121:E121"/>
    <mergeCell ref="A129:C129"/>
    <mergeCell ref="A130:B130"/>
    <mergeCell ref="A134:B134"/>
    <mergeCell ref="A106:B106"/>
    <mergeCell ref="A109:B109"/>
    <mergeCell ref="A110:B110"/>
  </mergeCells>
  <printOptions horizontalCentered="1"/>
  <pageMargins left="0.39370078740157483" right="0.39370078740157483" top="1.1811023622047245" bottom="0.39370078740157483" header="0.31496062992125984" footer="0.51181102362204722"/>
  <pageSetup paperSize="9" scale="38" firstPageNumber="94" fitToHeight="8" orientation="landscape" useFirstPageNumber="1" horizontalDpi="300" verticalDpi="300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313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28.07.2025 изм. ст-сти объектов</vt:lpstr>
      <vt:lpstr>'28.07.2025 изм. ст-сти объектов'!Z_D9A49370_59EF_4DF5_B20D_A46D1CBDF607_.wvu.PrintTitles</vt:lpstr>
      <vt:lpstr>'28.07.2025 изм. ст-сти объектов'!Заголовки_для_печати</vt:lpstr>
      <vt:lpstr>'28.07.2025 изм. ст-сти объектов'!Область_печати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Шеховцова</dc:creator>
  <dc:description/>
  <cp:lastModifiedBy>Шеховцова</cp:lastModifiedBy>
  <cp:revision>29</cp:revision>
  <cp:lastPrinted>2025-07-29T07:34:35Z</cp:lastPrinted>
  <dcterms:created xsi:type="dcterms:W3CDTF">2023-06-29T08:05:20Z</dcterms:created>
  <dcterms:modified xsi:type="dcterms:W3CDTF">2025-07-29T07:39:30Z</dcterms:modified>
  <dc:language>ru-RU</dc:language>
</cp:coreProperties>
</file>